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3 組織参考資料フォルダ\01 令和５事務年度\06 税制改正\承認酒類製造者の酒税特例措置\有利不利システム\★最新版\"/>
    </mc:Choice>
  </mc:AlternateContent>
  <xr:revisionPtr revIDLastSave="0" documentId="13_ncr:1_{B39F56B7-B455-4ED1-9AAF-788EFAAC959B}" xr6:coauthVersionLast="36" xr6:coauthVersionMax="36" xr10:uidLastSave="{00000000-0000-0000-0000-000000000000}"/>
  <bookViews>
    <workbookView xWindow="0" yWindow="0" windowWidth="19200" windowHeight="7100" xr2:uid="{5A5D2FA1-290E-4617-B47E-099236F3ECDC}"/>
  </bookViews>
  <sheets>
    <sheet name="入力表" sheetId="1" r:id="rId1"/>
    <sheet name="対比" sheetId="3" r:id="rId2"/>
    <sheet name="データ" sheetId="2" r:id="rId3"/>
  </sheets>
  <definedNames>
    <definedName name="_xlnm.Print_Area" localSheetId="1">対比!$B:$J</definedName>
    <definedName name="_xlnm.Print_Area" localSheetId="0">入力表!$D:$O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K32" i="1"/>
  <c r="D25" i="1"/>
  <c r="D19" i="1"/>
  <c r="J17" i="3" l="1"/>
  <c r="J15" i="3"/>
  <c r="R5" i="1"/>
  <c r="S13" i="1" l="1"/>
  <c r="F14" i="1"/>
  <c r="F18" i="1"/>
  <c r="F22" i="1"/>
  <c r="F26" i="1"/>
  <c r="F30" i="1"/>
  <c r="F13" i="1"/>
  <c r="F17" i="1"/>
  <c r="F25" i="1"/>
  <c r="F29" i="1"/>
  <c r="F15" i="1"/>
  <c r="F19" i="1"/>
  <c r="F23" i="1"/>
  <c r="F27" i="1"/>
  <c r="F21" i="1"/>
  <c r="F12" i="1"/>
  <c r="F16" i="1"/>
  <c r="F20" i="1"/>
  <c r="F24" i="1"/>
  <c r="F28" i="1"/>
  <c r="S16" i="1"/>
  <c r="S12" i="1"/>
  <c r="S27" i="1"/>
  <c r="S23" i="1"/>
  <c r="S19" i="1"/>
  <c r="S15" i="1"/>
  <c r="S28" i="1"/>
  <c r="S20" i="1"/>
  <c r="S30" i="1"/>
  <c r="S26" i="1"/>
  <c r="S22" i="1"/>
  <c r="S18" i="1"/>
  <c r="S14" i="1"/>
  <c r="S24" i="1"/>
  <c r="S29" i="1"/>
  <c r="S25" i="1"/>
  <c r="S21" i="1"/>
  <c r="S17" i="1"/>
  <c r="N30" i="1"/>
  <c r="N29" i="1"/>
  <c r="N28" i="1"/>
  <c r="N27" i="1"/>
  <c r="N26" i="1"/>
  <c r="N25" i="1"/>
  <c r="N23" i="1"/>
  <c r="N22" i="1"/>
  <c r="N21" i="1"/>
  <c r="N20" i="1"/>
  <c r="N16" i="1"/>
  <c r="H31" i="1" l="1"/>
  <c r="I5" i="3" l="1"/>
  <c r="Q16" i="1" l="1"/>
  <c r="Q20" i="1"/>
  <c r="Q21" i="1"/>
  <c r="Q22" i="1"/>
  <c r="Q23" i="1"/>
  <c r="Q25" i="1"/>
  <c r="Q26" i="1"/>
  <c r="Q27" i="1"/>
  <c r="Q28" i="1"/>
  <c r="Q29" i="1"/>
  <c r="Q30" i="1"/>
  <c r="B24" i="1" l="1"/>
  <c r="B18" i="1"/>
  <c r="B13" i="1"/>
  <c r="B14" i="1"/>
  <c r="B15" i="1"/>
  <c r="B16" i="1"/>
  <c r="B17" i="1"/>
  <c r="B20" i="1"/>
  <c r="B21" i="1"/>
  <c r="B22" i="1"/>
  <c r="B23" i="1"/>
  <c r="B26" i="1"/>
  <c r="B27" i="1"/>
  <c r="B28" i="1"/>
  <c r="B29" i="1"/>
  <c r="B30" i="1"/>
  <c r="B12" i="1"/>
  <c r="I31" i="1"/>
  <c r="G31" i="1"/>
  <c r="R29" i="1"/>
  <c r="R28" i="1"/>
  <c r="R27" i="1"/>
  <c r="R26" i="1"/>
  <c r="R25" i="1"/>
  <c r="R23" i="1"/>
  <c r="R22" i="1"/>
  <c r="R21" i="1"/>
  <c r="R20" i="1"/>
  <c r="R16" i="1"/>
  <c r="R4" i="1"/>
  <c r="R3" i="1"/>
  <c r="J14" i="1" l="1"/>
  <c r="L14" i="1" s="1"/>
  <c r="J15" i="1"/>
  <c r="L15" i="1" s="1"/>
  <c r="C4" i="3"/>
  <c r="B5" i="3" s="1"/>
  <c r="B4" i="3"/>
  <c r="B6" i="3" s="1"/>
  <c r="F31" i="1"/>
  <c r="R30" i="1"/>
  <c r="J19" i="1"/>
  <c r="L19" i="1" s="1"/>
  <c r="J18" i="1"/>
  <c r="L18" i="1" s="1"/>
  <c r="E4" i="3"/>
  <c r="F5" i="3" s="1"/>
  <c r="J24" i="1"/>
  <c r="L24" i="1" s="1"/>
  <c r="J12" i="1"/>
  <c r="L12" i="1" s="1"/>
  <c r="J17" i="1"/>
  <c r="L17" i="1" s="1"/>
  <c r="J13" i="1"/>
  <c r="G2" i="1"/>
  <c r="F2" i="1"/>
  <c r="G3" i="1"/>
  <c r="B8" i="3" s="1"/>
  <c r="G9" i="2"/>
  <c r="F9" i="2"/>
  <c r="D9" i="2"/>
  <c r="E9" i="2"/>
  <c r="C9" i="2"/>
  <c r="K4" i="3" l="1"/>
  <c r="L13" i="1"/>
  <c r="M13" i="1" s="1"/>
  <c r="C12" i="3" s="1"/>
  <c r="M17" i="1"/>
  <c r="C15" i="3" s="1"/>
  <c r="N12" i="1"/>
  <c r="M24" i="1"/>
  <c r="C18" i="3" s="1"/>
  <c r="N24" i="1"/>
  <c r="N19" i="1"/>
  <c r="Q18" i="1"/>
  <c r="N18" i="1"/>
  <c r="Q15" i="1"/>
  <c r="N15" i="1"/>
  <c r="N14" i="1"/>
  <c r="Q13" i="1"/>
  <c r="N13" i="1"/>
  <c r="Q17" i="1"/>
  <c r="N17" i="1"/>
  <c r="Q12" i="1"/>
  <c r="M18" i="1"/>
  <c r="C16" i="3" s="1"/>
  <c r="M14" i="1"/>
  <c r="C13" i="3" s="1"/>
  <c r="Q14" i="1"/>
  <c r="M19" i="1"/>
  <c r="C17" i="3" s="1"/>
  <c r="Q19" i="1"/>
  <c r="B2" i="3"/>
  <c r="D4" i="3"/>
  <c r="J13" i="3"/>
  <c r="J31" i="1"/>
  <c r="M15" i="1"/>
  <c r="C14" i="3" s="1"/>
  <c r="Q24" i="1" l="1"/>
  <c r="Q31" i="1" s="1"/>
  <c r="K31" i="1" s="1"/>
  <c r="M12" i="1"/>
  <c r="C11" i="3" s="1"/>
  <c r="C19" i="3" s="1"/>
  <c r="C23" i="3" s="1"/>
  <c r="R13" i="1"/>
  <c r="R17" i="1"/>
  <c r="R18" i="1"/>
  <c r="R12" i="1"/>
  <c r="R19" i="1"/>
  <c r="R15" i="1"/>
  <c r="R14" i="1"/>
  <c r="R24" i="1"/>
  <c r="N31" i="1"/>
  <c r="M31" i="1" l="1"/>
  <c r="R31" i="1"/>
  <c r="O31" i="1" s="1"/>
  <c r="C22" i="3" l="1"/>
  <c r="E22" i="3" s="1"/>
  <c r="J19" i="3" l="1"/>
  <c r="E23" i="3" s="1"/>
  <c r="D23" i="3" s="1"/>
  <c r="C24" i="3"/>
  <c r="E24" i="3" l="1"/>
</calcChain>
</file>

<file path=xl/sharedStrings.xml><?xml version="1.0" encoding="utf-8"?>
<sst xmlns="http://schemas.openxmlformats.org/spreadsheetml/2006/main" count="193" uniqueCount="105">
  <si>
    <t>合計</t>
    <rPh sb="0" eb="2">
      <t>ゴウケイ</t>
    </rPh>
    <phoneticPr fontId="2"/>
  </si>
  <si>
    <t>みりん</t>
  </si>
  <si>
    <t>甘味果実酒</t>
    <rPh sb="0" eb="2">
      <t>カンミ</t>
    </rPh>
    <rPh sb="2" eb="5">
      <t>カジツシュ</t>
    </rPh>
    <phoneticPr fontId="2"/>
  </si>
  <si>
    <t>ウイスキー</t>
  </si>
  <si>
    <t>ブランデー</t>
  </si>
  <si>
    <t>原料用アルコール</t>
    <rPh sb="0" eb="3">
      <t>ゲンリョウヨウ</t>
    </rPh>
    <phoneticPr fontId="2"/>
  </si>
  <si>
    <t>その他の醸造酒</t>
    <rPh sb="2" eb="3">
      <t>タ</t>
    </rPh>
    <rPh sb="4" eb="7">
      <t>ジョウゾウシュ</t>
    </rPh>
    <phoneticPr fontId="2"/>
  </si>
  <si>
    <t>スピリッツ</t>
  </si>
  <si>
    <t>リキュール</t>
  </si>
  <si>
    <t>粉末酒</t>
    <rPh sb="0" eb="1">
      <t>コナ</t>
    </rPh>
    <rPh sb="1" eb="2">
      <t>スエ</t>
    </rPh>
    <rPh sb="2" eb="3">
      <t>サケ</t>
    </rPh>
    <phoneticPr fontId="2"/>
  </si>
  <si>
    <t>雑酒</t>
    <rPh sb="0" eb="1">
      <t>ザツ</t>
    </rPh>
    <rPh sb="1" eb="2">
      <t>シュ</t>
    </rPh>
    <phoneticPr fontId="2"/>
  </si>
  <si>
    <t>清酒</t>
    <rPh sb="0" eb="1">
      <t>キヨシ</t>
    </rPh>
    <rPh sb="1" eb="2">
      <t>サケ</t>
    </rPh>
    <phoneticPr fontId="2"/>
  </si>
  <si>
    <t>合成清酒</t>
    <rPh sb="0" eb="2">
      <t>ゴウセイ</t>
    </rPh>
    <rPh sb="2" eb="4">
      <t>セイシュ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</si>
  <si>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</si>
  <si>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</si>
  <si>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ビール</t>
  </si>
  <si>
    <t>果実酒</t>
    <rPh sb="0" eb="1">
      <t>カ</t>
    </rPh>
    <rPh sb="1" eb="2">
      <t>ジツ</t>
    </rPh>
    <rPh sb="2" eb="3">
      <t>サケ</t>
    </rPh>
    <phoneticPr fontId="2"/>
  </si>
  <si>
    <t>発泡酒</t>
    <rPh sb="0" eb="1">
      <t>ハッ</t>
    </rPh>
    <rPh sb="1" eb="2">
      <t>アワ</t>
    </rPh>
    <rPh sb="2" eb="3">
      <t>サケ</t>
    </rPh>
    <phoneticPr fontId="2"/>
  </si>
  <si>
    <t>前年度</t>
    <rPh sb="0" eb="3">
      <t>ゼンネンド</t>
    </rPh>
    <phoneticPr fontId="3"/>
  </si>
  <si>
    <t>課税移出数量</t>
    <rPh sb="0" eb="1">
      <t>カ</t>
    </rPh>
    <rPh sb="1" eb="2">
      <t>ゼイ</t>
    </rPh>
    <rPh sb="2" eb="4">
      <t>イシュツ</t>
    </rPh>
    <rPh sb="4" eb="6">
      <t>スウリョウ</t>
    </rPh>
    <phoneticPr fontId="3"/>
  </si>
  <si>
    <t>当年度</t>
    <rPh sb="0" eb="3">
      <t>トウネンド</t>
    </rPh>
    <phoneticPr fontId="3"/>
  </si>
  <si>
    <t>軽減割合</t>
    <rPh sb="0" eb="2">
      <t>ケイゲン</t>
    </rPh>
    <rPh sb="2" eb="4">
      <t>ワリアイ</t>
    </rPh>
    <phoneticPr fontId="4"/>
  </si>
  <si>
    <t>課税移出数量</t>
    <rPh sb="0" eb="4">
      <t>カゼイイシュツ</t>
    </rPh>
    <rPh sb="4" eb="6">
      <t>スウリョウ</t>
    </rPh>
    <phoneticPr fontId="3"/>
  </si>
  <si>
    <t>旧制度</t>
    <rPh sb="0" eb="3">
      <t>キュウセイド</t>
    </rPh>
    <phoneticPr fontId="3"/>
  </si>
  <si>
    <t>軽減税額</t>
    <rPh sb="0" eb="2">
      <t>ケイゲン</t>
    </rPh>
    <rPh sb="2" eb="4">
      <t>ゼイガク</t>
    </rPh>
    <phoneticPr fontId="3"/>
  </si>
  <si>
    <t>発泡酒（50％未満）</t>
    <rPh sb="0" eb="1">
      <t>ハッ</t>
    </rPh>
    <rPh sb="1" eb="2">
      <t>アワ</t>
    </rPh>
    <rPh sb="2" eb="3">
      <t>サケ</t>
    </rPh>
    <rPh sb="7" eb="9">
      <t>ミマン</t>
    </rPh>
    <phoneticPr fontId="2"/>
  </si>
  <si>
    <t>発泡酒（50％以上）</t>
    <rPh sb="0" eb="3">
      <t>ハッポウシュ</t>
    </rPh>
    <rPh sb="7" eb="9">
      <t>イジョウ</t>
    </rPh>
    <phoneticPr fontId="3"/>
  </si>
  <si>
    <t>（円）</t>
    <rPh sb="1" eb="2">
      <t>エン</t>
    </rPh>
    <phoneticPr fontId="3"/>
  </si>
  <si>
    <t>果実酒（発泡性）</t>
    <rPh sb="0" eb="1">
      <t>カ</t>
    </rPh>
    <rPh sb="1" eb="2">
      <t>ジツ</t>
    </rPh>
    <rPh sb="2" eb="3">
      <t>サケ</t>
    </rPh>
    <rPh sb="4" eb="7">
      <t>ハッポウセイ</t>
    </rPh>
    <phoneticPr fontId="2"/>
  </si>
  <si>
    <t>果実酒（その他）</t>
    <rPh sb="0" eb="1">
      <t>カ</t>
    </rPh>
    <rPh sb="1" eb="2">
      <t>ジツ</t>
    </rPh>
    <rPh sb="2" eb="3">
      <t>サケ</t>
    </rPh>
    <rPh sb="6" eb="7">
      <t>タ</t>
    </rPh>
    <phoneticPr fontId="2"/>
  </si>
  <si>
    <t>R6年度</t>
    <rPh sb="2" eb="4">
      <t>ネンド</t>
    </rPh>
    <phoneticPr fontId="3"/>
  </si>
  <si>
    <t>R7年度</t>
    <rPh sb="2" eb="4">
      <t>ネンド</t>
    </rPh>
    <phoneticPr fontId="3"/>
  </si>
  <si>
    <t>R8年度</t>
    <rPh sb="2" eb="4">
      <t>ネンド</t>
    </rPh>
    <phoneticPr fontId="3"/>
  </si>
  <si>
    <t>R9年度</t>
    <rPh sb="2" eb="4">
      <t>ネンド</t>
    </rPh>
    <phoneticPr fontId="3"/>
  </si>
  <si>
    <t>R10年度</t>
    <rPh sb="3" eb="5">
      <t>ネンド</t>
    </rPh>
    <phoneticPr fontId="3"/>
  </si>
  <si>
    <t>旧中小特例・旧地ビール特例の割合</t>
    <rPh sb="0" eb="1">
      <t>キュウ</t>
    </rPh>
    <rPh sb="1" eb="3">
      <t>チュウショウ</t>
    </rPh>
    <rPh sb="3" eb="5">
      <t>トクレイ</t>
    </rPh>
    <rPh sb="6" eb="7">
      <t>キュウ</t>
    </rPh>
    <rPh sb="7" eb="8">
      <t>チ</t>
    </rPh>
    <rPh sb="11" eb="13">
      <t>トクレイ</t>
    </rPh>
    <rPh sb="14" eb="16">
      <t>ワリアイ</t>
    </rPh>
    <phoneticPr fontId="3"/>
  </si>
  <si>
    <t>旧震災特例の割合</t>
    <rPh sb="0" eb="1">
      <t>キュウ</t>
    </rPh>
    <rPh sb="1" eb="3">
      <t>シンサイ</t>
    </rPh>
    <rPh sb="3" eb="5">
      <t>トクレイ</t>
    </rPh>
    <rPh sb="6" eb="8">
      <t>ワリアイ</t>
    </rPh>
    <phoneticPr fontId="3"/>
  </si>
  <si>
    <t>清酒等</t>
    <rPh sb="0" eb="3">
      <t>セイシュトウ</t>
    </rPh>
    <phoneticPr fontId="2"/>
  </si>
  <si>
    <t>左の本則税額</t>
    <rPh sb="0" eb="1">
      <t>ヒダリ</t>
    </rPh>
    <rPh sb="2" eb="4">
      <t>ホンソク</t>
    </rPh>
    <rPh sb="4" eb="6">
      <t>ゼイガク</t>
    </rPh>
    <phoneticPr fontId="3"/>
  </si>
  <si>
    <t>令和６年度</t>
    <rPh sb="0" eb="2">
      <t>レイワ</t>
    </rPh>
    <rPh sb="3" eb="5">
      <t>ネンド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</si>
  <si>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</si>
  <si>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</si>
  <si>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令和９年度</t>
    <rPh sb="0" eb="2">
      <t>レイワ</t>
    </rPh>
    <rPh sb="3" eb="5">
      <t>ネンド</t>
    </rPh>
    <phoneticPr fontId="3"/>
  </si>
  <si>
    <t>令和１０年度</t>
    <rPh sb="0" eb="2">
      <t>レイワ</t>
    </rPh>
    <rPh sb="4" eb="6">
      <t>ネンド</t>
    </rPh>
    <phoneticPr fontId="3"/>
  </si>
  <si>
    <t>震災特例の適用</t>
    <rPh sb="0" eb="2">
      <t>シンサイ</t>
    </rPh>
    <rPh sb="2" eb="4">
      <t>トクレイ</t>
    </rPh>
    <rPh sb="5" eb="7">
      <t>テキヨウ</t>
    </rPh>
    <phoneticPr fontId="3"/>
  </si>
  <si>
    <t>当年度の期間</t>
    <rPh sb="0" eb="3">
      <t>トウネンド</t>
    </rPh>
    <rPh sb="4" eb="6">
      <t>キカン</t>
    </rPh>
    <phoneticPr fontId="3"/>
  </si>
  <si>
    <t>前年度の期間</t>
    <rPh sb="0" eb="3">
      <t>ゼンネンド</t>
    </rPh>
    <rPh sb="4" eb="6">
      <t>キカン</t>
    </rPh>
    <phoneticPr fontId="3"/>
  </si>
  <si>
    <t>令和５年度</t>
    <rPh sb="0" eb="2">
      <t>レイワ</t>
    </rPh>
    <rPh sb="3" eb="5">
      <t>ネンド</t>
    </rPh>
    <phoneticPr fontId="3"/>
  </si>
  <si>
    <t>あり</t>
    <phoneticPr fontId="3"/>
  </si>
  <si>
    <t>なし</t>
    <phoneticPr fontId="3"/>
  </si>
  <si>
    <t>（令和６年４月１日～令和７年３月31日）</t>
    <rPh sb="1" eb="3">
      <t>レイワ</t>
    </rPh>
    <rPh sb="4" eb="5">
      <t>ネン</t>
    </rPh>
    <rPh sb="6" eb="7">
      <t>ツキ</t>
    </rPh>
    <rPh sb="8" eb="9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3"/>
  </si>
  <si>
    <t>（令和７年４月１日～令和８年３月31日）</t>
    <rPh sb="1" eb="3">
      <t>レイワ</t>
    </rPh>
    <rPh sb="4" eb="5">
      <t>ネン</t>
    </rPh>
    <rPh sb="6" eb="7">
      <t>ツキ</t>
    </rPh>
    <rPh sb="8" eb="9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3"/>
  </si>
  <si>
    <t>（令和８年４月１日～令和９年３月31日）</t>
    <rPh sb="1" eb="3">
      <t>レイワ</t>
    </rPh>
    <rPh sb="4" eb="5">
      <t>ネン</t>
    </rPh>
    <rPh sb="6" eb="7">
      <t>ツキ</t>
    </rPh>
    <rPh sb="8" eb="9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3"/>
  </si>
  <si>
    <t>（令和９年４月１日～令和10年３月31日）</t>
    <rPh sb="1" eb="3">
      <t>レイワ</t>
    </rPh>
    <rPh sb="4" eb="5">
      <t>ネン</t>
    </rPh>
    <rPh sb="6" eb="7">
      <t>ツキ</t>
    </rPh>
    <rPh sb="8" eb="9">
      <t>ヒ</t>
    </rPh>
    <rPh sb="10" eb="12">
      <t>レイワ</t>
    </rPh>
    <rPh sb="14" eb="15">
      <t>ネン</t>
    </rPh>
    <rPh sb="16" eb="17">
      <t>ツキ</t>
    </rPh>
    <rPh sb="19" eb="20">
      <t>ヒ</t>
    </rPh>
    <phoneticPr fontId="3"/>
  </si>
  <si>
    <t>（令和10年４月１日～令和11年３月31日）</t>
    <rPh sb="1" eb="3">
      <t>レイワ</t>
    </rPh>
    <rPh sb="5" eb="6">
      <t>ネン</t>
    </rPh>
    <rPh sb="7" eb="8">
      <t>ツキ</t>
    </rPh>
    <rPh sb="9" eb="10">
      <t>ヒ</t>
    </rPh>
    <rPh sb="11" eb="13">
      <t>レイワ</t>
    </rPh>
    <rPh sb="15" eb="16">
      <t>ネン</t>
    </rPh>
    <rPh sb="17" eb="18">
      <t>ツキ</t>
    </rPh>
    <rPh sb="20" eb="21">
      <t>ヒ</t>
    </rPh>
    <phoneticPr fontId="3"/>
  </si>
  <si>
    <t>（令和５年４月１日～令和６年３月31日）</t>
    <rPh sb="1" eb="3">
      <t>レイワ</t>
    </rPh>
    <rPh sb="4" eb="5">
      <t>ネン</t>
    </rPh>
    <rPh sb="6" eb="7">
      <t>ツキ</t>
    </rPh>
    <rPh sb="8" eb="9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3"/>
  </si>
  <si>
    <t>列番号</t>
    <rPh sb="0" eb="3">
      <t>レツバンゴウ</t>
    </rPh>
    <phoneticPr fontId="3"/>
  </si>
  <si>
    <t>その他</t>
    <rPh sb="2" eb="3">
      <t>タ</t>
    </rPh>
    <phoneticPr fontId="3"/>
  </si>
  <si>
    <t>（％）</t>
    <phoneticPr fontId="3"/>
  </si>
  <si>
    <t>総課税移出数量</t>
    <rPh sb="0" eb="3">
      <t>ソウカゼイ</t>
    </rPh>
    <rPh sb="3" eb="5">
      <t>イシュツ</t>
    </rPh>
    <rPh sb="5" eb="7">
      <t>スウリョウ</t>
    </rPh>
    <phoneticPr fontId="3"/>
  </si>
  <si>
    <t>特定品目</t>
    <rPh sb="0" eb="4">
      <t>トクテイヒンモク</t>
    </rPh>
    <phoneticPr fontId="3"/>
  </si>
  <si>
    <t>5,000万円以下</t>
    <rPh sb="5" eb="7">
      <t>マンエン</t>
    </rPh>
    <rPh sb="7" eb="9">
      <t>イカ</t>
    </rPh>
    <phoneticPr fontId="3"/>
  </si>
  <si>
    <t>軽減額</t>
    <rPh sb="0" eb="3">
      <t>ケイゲンガク</t>
    </rPh>
    <phoneticPr fontId="3"/>
  </si>
  <si>
    <t>新制度</t>
    <rPh sb="0" eb="3">
      <t>シンセイド</t>
    </rPh>
    <phoneticPr fontId="3"/>
  </si>
  <si>
    <t>特定品目の区分</t>
    <rPh sb="0" eb="4">
      <t>トクテイヒンモク</t>
    </rPh>
    <rPh sb="5" eb="7">
      <t>クブン</t>
    </rPh>
    <phoneticPr fontId="3"/>
  </si>
  <si>
    <t>本則税額</t>
    <rPh sb="0" eb="4">
      <t>ホンソクゼイガク</t>
    </rPh>
    <phoneticPr fontId="3"/>
  </si>
  <si>
    <t>課税移出数量</t>
    <phoneticPr fontId="3"/>
  </si>
  <si>
    <t>計</t>
    <rPh sb="0" eb="1">
      <t>ケイ</t>
    </rPh>
    <phoneticPr fontId="3"/>
  </si>
  <si>
    <t>5,000万円超
8,000万円以下</t>
    <rPh sb="5" eb="7">
      <t>マンエン</t>
    </rPh>
    <rPh sb="7" eb="8">
      <t>チョウ</t>
    </rPh>
    <rPh sb="14" eb="16">
      <t>マンエン</t>
    </rPh>
    <rPh sb="16" eb="18">
      <t>イカ</t>
    </rPh>
    <phoneticPr fontId="3"/>
  </si>
  <si>
    <t>8,000万円超
１億円以下</t>
    <rPh sb="5" eb="7">
      <t>マンエン</t>
    </rPh>
    <rPh sb="7" eb="8">
      <t>チョウ</t>
    </rPh>
    <rPh sb="10" eb="12">
      <t>オクエン</t>
    </rPh>
    <rPh sb="12" eb="14">
      <t>イカ</t>
    </rPh>
    <phoneticPr fontId="3"/>
  </si>
  <si>
    <t>【旧制度の計算方式】</t>
    <rPh sb="1" eb="4">
      <t>キュウセイド</t>
    </rPh>
    <rPh sb="5" eb="9">
      <t>ケイサンホウシキ</t>
    </rPh>
    <phoneticPr fontId="3"/>
  </si>
  <si>
    <t>【新制度の計算方式】</t>
    <rPh sb="1" eb="4">
      <t>シンセイド</t>
    </rPh>
    <rPh sb="5" eb="7">
      <t>ケイサン</t>
    </rPh>
    <rPh sb="7" eb="9">
      <t>ホウシキ</t>
    </rPh>
    <phoneticPr fontId="3"/>
  </si>
  <si>
    <t>⇒</t>
    <phoneticPr fontId="3"/>
  </si>
  <si>
    <t>本則税額</t>
    <rPh sb="0" eb="2">
      <t>ホンソク</t>
    </rPh>
    <rPh sb="2" eb="4">
      <t>ゼイガク</t>
    </rPh>
    <rPh sb="3" eb="4">
      <t>ガク</t>
    </rPh>
    <phoneticPr fontId="3"/>
  </si>
  <si>
    <t>差引納付額</t>
    <rPh sb="0" eb="2">
      <t>サシヒキ</t>
    </rPh>
    <rPh sb="2" eb="5">
      <t>ノウフガク</t>
    </rPh>
    <phoneticPr fontId="3"/>
  </si>
  <si>
    <t>資本金</t>
    <rPh sb="0" eb="3">
      <t>シホンキン</t>
    </rPh>
    <phoneticPr fontId="3"/>
  </si>
  <si>
    <t>従業員</t>
    <rPh sb="0" eb="3">
      <t>ジュウギョウイン</t>
    </rPh>
    <phoneticPr fontId="3"/>
  </si>
  <si>
    <t>200まで</t>
    <phoneticPr fontId="3"/>
  </si>
  <si>
    <t>その他</t>
    <rPh sb="2" eb="3">
      <t>タ</t>
    </rPh>
    <phoneticPr fontId="3"/>
  </si>
  <si>
    <t>本則税額</t>
    <rPh sb="0" eb="4">
      <t>ホンソクゼイガク</t>
    </rPh>
    <phoneticPr fontId="3"/>
  </si>
  <si>
    <t>個人・法人</t>
    <rPh sb="0" eb="2">
      <t>コジン</t>
    </rPh>
    <rPh sb="3" eb="5">
      <t>ホウジン</t>
    </rPh>
    <phoneticPr fontId="3"/>
  </si>
  <si>
    <t>個人</t>
    <rPh sb="0" eb="2">
      <t>コジン</t>
    </rPh>
    <phoneticPr fontId="3"/>
  </si>
  <si>
    <t>法人</t>
    <rPh sb="0" eb="2">
      <t>ホウジン</t>
    </rPh>
    <phoneticPr fontId="3"/>
  </si>
  <si>
    <t>なし</t>
  </si>
  <si>
    <t>自社分</t>
    <rPh sb="0" eb="2">
      <t>ジシャ</t>
    </rPh>
    <rPh sb="2" eb="3">
      <t>ブン</t>
    </rPh>
    <phoneticPr fontId="3"/>
  </si>
  <si>
    <t>その他の完全支配関係分</t>
    <rPh sb="2" eb="3">
      <t>タ</t>
    </rPh>
    <rPh sb="4" eb="6">
      <t>カンゼン</t>
    </rPh>
    <rPh sb="6" eb="10">
      <t>シハイカンケイ</t>
    </rPh>
    <rPh sb="10" eb="11">
      <t>ブン</t>
    </rPh>
    <phoneticPr fontId="3"/>
  </si>
  <si>
    <t>完全支配関係</t>
    <rPh sb="0" eb="2">
      <t>カンゼン</t>
    </rPh>
    <rPh sb="2" eb="4">
      <t>シハイ</t>
    </rPh>
    <rPh sb="4" eb="6">
      <t>カンケイ</t>
    </rPh>
    <phoneticPr fontId="3"/>
  </si>
  <si>
    <t>震災特例・完全支配関係の適用</t>
    <rPh sb="0" eb="2">
      <t>シンサイ</t>
    </rPh>
    <rPh sb="2" eb="4">
      <t>トクレイ</t>
    </rPh>
    <rPh sb="5" eb="7">
      <t>カンゼン</t>
    </rPh>
    <rPh sb="7" eb="9">
      <t>シハイ</t>
    </rPh>
    <rPh sb="9" eb="11">
      <t>カンケイ</t>
    </rPh>
    <rPh sb="12" eb="14">
      <t>テキヨウ</t>
    </rPh>
    <phoneticPr fontId="3"/>
  </si>
  <si>
    <t>完全支配</t>
    <rPh sb="0" eb="2">
      <t>カンゼン</t>
    </rPh>
    <rPh sb="2" eb="4">
      <t>シハイ</t>
    </rPh>
    <phoneticPr fontId="3"/>
  </si>
  <si>
    <t>課税移出数量
（合計）</t>
    <rPh sb="0" eb="4">
      <t>カゼイイシュツ</t>
    </rPh>
    <rPh sb="4" eb="6">
      <t>スウリョウ</t>
    </rPh>
    <rPh sb="8" eb="10">
      <t>ゴウケイ</t>
    </rPh>
    <phoneticPr fontId="3"/>
  </si>
  <si>
    <t>左の自社分</t>
    <rPh sb="0" eb="1">
      <t>ヒダリ</t>
    </rPh>
    <rPh sb="2" eb="5">
      <t>ジシャブン</t>
    </rPh>
    <phoneticPr fontId="3"/>
  </si>
  <si>
    <t>製造免許</t>
    <rPh sb="0" eb="4">
      <t>セイゾウメンキョ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</si>
  <si>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</si>
  <si>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</si>
  <si>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（上記のうち、免許有分）</t>
    <rPh sb="1" eb="3">
      <t>ジョウキ</t>
    </rPh>
    <rPh sb="7" eb="9">
      <t>メンキョ</t>
    </rPh>
    <rPh sb="9" eb="10">
      <t>アリ</t>
    </rPh>
    <rPh sb="10" eb="11">
      <t>フン</t>
    </rPh>
    <phoneticPr fontId="3"/>
  </si>
  <si>
    <t>旧制度の計算方式の適用対象（200klまで）</t>
    <rPh sb="0" eb="3">
      <t>キュウセイド</t>
    </rPh>
    <rPh sb="4" eb="6">
      <t>ケイサン</t>
    </rPh>
    <rPh sb="6" eb="8">
      <t>ホウシキ</t>
    </rPh>
    <rPh sb="9" eb="11">
      <t>テキヨウ</t>
    </rPh>
    <rPh sb="11" eb="13">
      <t>タイショウ</t>
    </rPh>
    <phoneticPr fontId="3"/>
  </si>
  <si>
    <t>（kl）</t>
  </si>
  <si>
    <t>400kl以下</t>
    <rPh sb="5" eb="7">
      <t>イカ</t>
    </rPh>
    <phoneticPr fontId="3"/>
  </si>
  <si>
    <t>400kl超
1,000kl以下</t>
    <rPh sb="5" eb="6">
      <t>チョウ</t>
    </rPh>
    <rPh sb="14" eb="16">
      <t>イカ</t>
    </rPh>
    <phoneticPr fontId="3"/>
  </si>
  <si>
    <t>1,000kl超
1,300kl以下</t>
    <rPh sb="7" eb="8">
      <t>チョウ</t>
    </rPh>
    <rPh sb="16" eb="18">
      <t>イカ</t>
    </rPh>
    <phoneticPr fontId="3"/>
  </si>
  <si>
    <t>1,300kl超</t>
    <rPh sb="7" eb="8">
      <t>チョウ</t>
    </rPh>
    <phoneticPr fontId="3"/>
  </si>
  <si>
    <t>前年度が1,000kl未満</t>
    <rPh sb="0" eb="3">
      <t>ゼンネンド</t>
    </rPh>
    <rPh sb="11" eb="13">
      <t>ミマン</t>
    </rPh>
    <phoneticPr fontId="3"/>
  </si>
  <si>
    <t>前年度が1,000kl超1,300kl未満</t>
    <rPh sb="0" eb="3">
      <t>ゼンネンド</t>
    </rPh>
    <rPh sb="11" eb="12">
      <t>チョウ</t>
    </rPh>
    <rPh sb="19" eb="21">
      <t>ミマン</t>
    </rPh>
    <phoneticPr fontId="3"/>
  </si>
  <si>
    <t>400kl超1,000kl以下</t>
    <rPh sb="5" eb="6">
      <t>チョウ</t>
    </rPh>
    <rPh sb="13" eb="15">
      <t>イカ</t>
    </rPh>
    <phoneticPr fontId="3"/>
  </si>
  <si>
    <t>1,000kl超1,300kl以下</t>
    <rPh sb="7" eb="8">
      <t>チョウ</t>
    </rPh>
    <rPh sb="15" eb="17">
      <t>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</si>
</sst>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0.000%"/>
    <numFmt numFmtId="178" formatCode="#,##0_ "/>
    <numFmt numFmtId="180" formatCode="#,##0_);[Red]\(#,##0\)"/>
    <numFmt numFmtId="181" formatCode="#,##0&quot;人&quot;"/>
    <numFmt numFmtId="182" formatCode="#,##0&quot;円&quot;"/>
    <numFmt numFmtId="183" formatCode="#,##0_ ;[Red]\-#,##0\ "/>
    <numFmt numFmtId="184" formatCode="#,##0_ \k\l"/>
  </numFmts>
  <fonts count="1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right" vertical="center"/>
    </xf>
    <xf numFmtId="180" fontId="0" fillId="0" borderId="43" xfId="0" applyNumberFormat="1" applyBorder="1">
      <alignment vertical="center"/>
    </xf>
    <xf numFmtId="180" fontId="0" fillId="0" borderId="44" xfId="0" applyNumberFormat="1" applyBorder="1">
      <alignment vertical="center"/>
    </xf>
    <xf numFmtId="180" fontId="0" fillId="0" borderId="45" xfId="0" applyNumberFormat="1" applyBorder="1">
      <alignment vertical="center"/>
    </xf>
    <xf numFmtId="180" fontId="0" fillId="0" borderId="23" xfId="0" applyNumberFormat="1" applyBorder="1">
      <alignment vertical="center"/>
    </xf>
    <xf numFmtId="180" fontId="0" fillId="0" borderId="64" xfId="0" applyNumberFormat="1" applyBorder="1">
      <alignment vertical="center"/>
    </xf>
    <xf numFmtId="0" fontId="0" fillId="0" borderId="0" xfId="0" applyAlignment="1">
      <alignment horizontal="left" vertical="center" indent="1"/>
    </xf>
    <xf numFmtId="38" fontId="0" fillId="0" borderId="0" xfId="1" applyFont="1">
      <alignment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180" fontId="0" fillId="0" borderId="13" xfId="0" applyNumberFormat="1" applyBorder="1">
      <alignment vertical="center"/>
    </xf>
    <xf numFmtId="180" fontId="0" fillId="0" borderId="28" xfId="0" applyNumberFormat="1" applyBorder="1">
      <alignment vertical="center"/>
    </xf>
    <xf numFmtId="0" fontId="0" fillId="0" borderId="51" xfId="0" applyBorder="1" applyAlignment="1">
      <alignment horizontal="center" vertical="center"/>
    </xf>
    <xf numFmtId="180" fontId="0" fillId="0" borderId="20" xfId="0" applyNumberFormat="1" applyBorder="1">
      <alignment vertical="center"/>
    </xf>
    <xf numFmtId="180" fontId="0" fillId="0" borderId="17" xfId="0" applyNumberFormat="1" applyBorder="1">
      <alignment vertical="center"/>
    </xf>
    <xf numFmtId="180" fontId="0" fillId="0" borderId="26" xfId="0" applyNumberFormat="1" applyBorder="1">
      <alignment vertical="center"/>
    </xf>
    <xf numFmtId="180" fontId="0" fillId="0" borderId="30" xfId="0" applyNumberFormat="1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81" fontId="0" fillId="0" borderId="70" xfId="1" applyNumberFormat="1" applyFont="1" applyBorder="1" applyProtection="1">
      <alignment vertical="center"/>
      <protection locked="0"/>
    </xf>
    <xf numFmtId="182" fontId="0" fillId="0" borderId="71" xfId="1" applyNumberFormat="1" applyFont="1" applyBorder="1" applyProtection="1">
      <alignment vertical="center"/>
      <protection locked="0"/>
    </xf>
    <xf numFmtId="181" fontId="0" fillId="0" borderId="67" xfId="1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>
      <alignment vertical="center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25" xfId="0" applyFont="1" applyFill="1" applyBorder="1">
      <alignment vertical="center"/>
    </xf>
    <xf numFmtId="38" fontId="10" fillId="4" borderId="74" xfId="1" applyFont="1" applyFill="1" applyBorder="1" applyAlignment="1" applyProtection="1">
      <alignment horizontal="right" vertical="center"/>
    </xf>
    <xf numFmtId="0" fontId="10" fillId="0" borderId="81" xfId="0" applyFont="1" applyFill="1" applyBorder="1" applyAlignment="1">
      <alignment horizontal="right" vertical="center" wrapText="1"/>
    </xf>
    <xf numFmtId="178" fontId="10" fillId="4" borderId="73" xfId="0" applyNumberFormat="1" applyFont="1" applyFill="1" applyBorder="1" applyAlignment="1" applyProtection="1">
      <alignment horizontal="right" vertical="center"/>
      <protection locked="0"/>
    </xf>
    <xf numFmtId="0" fontId="10" fillId="0" borderId="82" xfId="0" applyFont="1" applyFill="1" applyBorder="1" applyAlignment="1">
      <alignment horizontal="right" vertical="center" wrapText="1"/>
    </xf>
    <xf numFmtId="0" fontId="10" fillId="0" borderId="83" xfId="0" applyFont="1" applyFill="1" applyBorder="1" applyAlignment="1">
      <alignment horizontal="right" vertical="center"/>
    </xf>
    <xf numFmtId="178" fontId="8" fillId="0" borderId="0" xfId="0" applyNumberFormat="1" applyFont="1" applyFill="1" applyBorder="1">
      <alignment vertical="center"/>
    </xf>
    <xf numFmtId="0" fontId="10" fillId="0" borderId="28" xfId="0" applyFont="1" applyFill="1" applyBorder="1">
      <alignment vertical="center"/>
    </xf>
    <xf numFmtId="38" fontId="10" fillId="4" borderId="37" xfId="1" applyFont="1" applyFill="1" applyBorder="1" applyProtection="1">
      <alignment vertical="center"/>
    </xf>
    <xf numFmtId="178" fontId="10" fillId="0" borderId="2" xfId="0" applyNumberFormat="1" applyFont="1" applyFill="1" applyBorder="1" applyProtection="1">
      <alignment vertical="center"/>
      <protection locked="0"/>
    </xf>
    <xf numFmtId="178" fontId="10" fillId="4" borderId="37" xfId="0" applyNumberFormat="1" applyFont="1" applyFill="1" applyBorder="1" applyProtection="1">
      <alignment vertical="center"/>
      <protection locked="0"/>
    </xf>
    <xf numFmtId="178" fontId="10" fillId="0" borderId="12" xfId="0" applyNumberFormat="1" applyFont="1" applyFill="1" applyBorder="1" applyProtection="1">
      <alignment vertical="center"/>
      <protection locked="0"/>
    </xf>
    <xf numFmtId="178" fontId="10" fillId="0" borderId="2" xfId="0" applyNumberFormat="1" applyFont="1" applyFill="1" applyBorder="1">
      <alignment vertical="center"/>
    </xf>
    <xf numFmtId="177" fontId="10" fillId="0" borderId="2" xfId="0" applyNumberFormat="1" applyFont="1" applyFill="1" applyBorder="1">
      <alignment vertical="center"/>
    </xf>
    <xf numFmtId="178" fontId="10" fillId="0" borderId="13" xfId="0" applyNumberFormat="1" applyFont="1" applyFill="1" applyBorder="1" applyProtection="1">
      <alignment vertical="center"/>
      <protection locked="0"/>
    </xf>
    <xf numFmtId="0" fontId="10" fillId="0" borderId="29" xfId="0" applyFont="1" applyFill="1" applyBorder="1">
      <alignment vertical="center"/>
    </xf>
    <xf numFmtId="178" fontId="10" fillId="0" borderId="5" xfId="0" applyNumberFormat="1" applyFont="1" applyFill="1" applyBorder="1" applyProtection="1">
      <alignment vertical="center"/>
      <protection locked="0"/>
    </xf>
    <xf numFmtId="178" fontId="10" fillId="4" borderId="38" xfId="0" applyNumberFormat="1" applyFont="1" applyFill="1" applyBorder="1" applyProtection="1">
      <alignment vertical="center"/>
      <protection locked="0"/>
    </xf>
    <xf numFmtId="178" fontId="10" fillId="0" borderId="14" xfId="0" applyNumberFormat="1" applyFont="1" applyFill="1" applyBorder="1" applyProtection="1">
      <alignment vertical="center"/>
      <protection locked="0"/>
    </xf>
    <xf numFmtId="178" fontId="10" fillId="0" borderId="15" xfId="0" applyNumberFormat="1" applyFont="1" applyFill="1" applyBorder="1" applyProtection="1">
      <alignment vertical="center"/>
      <protection locked="0"/>
    </xf>
    <xf numFmtId="178" fontId="10" fillId="2" borderId="5" xfId="0" applyNumberFormat="1" applyFont="1" applyFill="1" applyBorder="1">
      <alignment vertical="center"/>
    </xf>
    <xf numFmtId="178" fontId="10" fillId="0" borderId="5" xfId="0" applyNumberFormat="1" applyFont="1" applyFill="1" applyBorder="1">
      <alignment vertical="center"/>
    </xf>
    <xf numFmtId="0" fontId="10" fillId="0" borderId="30" xfId="0" applyFont="1" applyFill="1" applyBorder="1">
      <alignment vertical="center"/>
    </xf>
    <xf numFmtId="38" fontId="10" fillId="4" borderId="7" xfId="1" applyFont="1" applyFill="1" applyBorder="1" applyProtection="1">
      <alignment vertical="center"/>
    </xf>
    <xf numFmtId="178" fontId="10" fillId="0" borderId="9" xfId="0" applyNumberFormat="1" applyFont="1" applyFill="1" applyBorder="1" applyProtection="1">
      <alignment vertical="center"/>
      <protection locked="0"/>
    </xf>
    <xf numFmtId="178" fontId="10" fillId="4" borderId="7" xfId="0" applyNumberFormat="1" applyFont="1" applyFill="1" applyBorder="1" applyProtection="1">
      <alignment vertical="center"/>
      <protection locked="0"/>
    </xf>
    <xf numFmtId="178" fontId="10" fillId="0" borderId="16" xfId="0" applyNumberFormat="1" applyFont="1" applyFill="1" applyBorder="1" applyProtection="1">
      <alignment vertical="center"/>
      <protection locked="0"/>
    </xf>
    <xf numFmtId="178" fontId="10" fillId="2" borderId="9" xfId="0" applyNumberFormat="1" applyFont="1" applyFill="1" applyBorder="1">
      <alignment vertical="center"/>
    </xf>
    <xf numFmtId="178" fontId="10" fillId="0" borderId="9" xfId="0" applyNumberFormat="1" applyFont="1" applyFill="1" applyBorder="1">
      <alignment vertical="center"/>
    </xf>
    <xf numFmtId="178" fontId="10" fillId="0" borderId="17" xfId="0" applyNumberFormat="1" applyFont="1" applyFill="1" applyBorder="1" applyProtection="1">
      <alignment vertical="center"/>
      <protection locked="0"/>
    </xf>
    <xf numFmtId="0" fontId="10" fillId="0" borderId="26" xfId="0" applyFont="1" applyFill="1" applyBorder="1" applyAlignment="1">
      <alignment horizontal="center" vertical="center"/>
    </xf>
    <xf numFmtId="38" fontId="10" fillId="4" borderId="22" xfId="1" applyFont="1" applyFill="1" applyBorder="1" applyAlignment="1">
      <alignment horizontal="right" vertical="center"/>
    </xf>
    <xf numFmtId="178" fontId="10" fillId="0" borderId="19" xfId="0" applyNumberFormat="1" applyFont="1" applyFill="1" applyBorder="1">
      <alignment vertical="center"/>
    </xf>
    <xf numFmtId="178" fontId="10" fillId="4" borderId="22" xfId="0" applyNumberFormat="1" applyFont="1" applyFill="1" applyBorder="1">
      <alignment vertical="center"/>
    </xf>
    <xf numFmtId="178" fontId="10" fillId="0" borderId="21" xfId="0" applyNumberFormat="1" applyFont="1" applyFill="1" applyBorder="1">
      <alignment vertical="center"/>
    </xf>
    <xf numFmtId="178" fontId="10" fillId="0" borderId="39" xfId="0" applyNumberFormat="1" applyFont="1" applyFill="1" applyBorder="1">
      <alignment vertical="center"/>
    </xf>
    <xf numFmtId="178" fontId="10" fillId="0" borderId="27" xfId="0" applyNumberFormat="1" applyFont="1" applyFill="1" applyBorder="1">
      <alignment vertical="center"/>
    </xf>
    <xf numFmtId="178" fontId="10" fillId="2" borderId="19" xfId="0" applyNumberFormat="1" applyFont="1" applyFill="1" applyBorder="1">
      <alignment vertical="center"/>
    </xf>
    <xf numFmtId="178" fontId="10" fillId="0" borderId="20" xfId="0" applyNumberFormat="1" applyFont="1" applyFill="1" applyBorder="1">
      <alignment vertical="center"/>
    </xf>
    <xf numFmtId="0" fontId="0" fillId="0" borderId="46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83" fontId="8" fillId="0" borderId="0" xfId="1" applyNumberFormat="1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80" fontId="0" fillId="0" borderId="60" xfId="0" applyNumberFormat="1" applyBorder="1" applyAlignment="1">
      <alignment vertical="center"/>
    </xf>
    <xf numFmtId="180" fontId="0" fillId="0" borderId="65" xfId="0" applyNumberForma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0" fontId="0" fillId="2" borderId="2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0" fontId="0" fillId="2" borderId="3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48" xfId="0" applyBorder="1" applyAlignment="1">
      <alignment vertical="center" wrapText="1"/>
    </xf>
    <xf numFmtId="10" fontId="0" fillId="2" borderId="4" xfId="0" applyNumberForma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2" borderId="8" xfId="0" applyFill="1" applyBorder="1" applyAlignment="1">
      <alignment vertical="center"/>
    </xf>
    <xf numFmtId="10" fontId="0" fillId="2" borderId="5" xfId="0" applyNumberForma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10" fontId="0" fillId="2" borderId="6" xfId="0" applyNumberForma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80" fontId="0" fillId="0" borderId="62" xfId="0" applyNumberForma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184" fontId="0" fillId="0" borderId="70" xfId="0" applyNumberFormat="1" applyBorder="1" applyAlignment="1">
      <alignment horizontal="center" vertical="center"/>
    </xf>
    <xf numFmtId="184" fontId="0" fillId="0" borderId="68" xfId="0" applyNumberFormat="1" applyBorder="1" applyAlignment="1">
      <alignment horizontal="center" vertical="center"/>
    </xf>
    <xf numFmtId="184" fontId="0" fillId="0" borderId="67" xfId="0" applyNumberFormat="1" applyBorder="1" applyAlignment="1">
      <alignment horizontal="center" vertical="center"/>
    </xf>
    <xf numFmtId="184" fontId="0" fillId="0" borderId="68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0">
    <dxf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AA711-35AC-426E-8F55-0FD9614C5742}">
  <dimension ref="B2:S32"/>
  <sheetViews>
    <sheetView tabSelected="1" workbookViewId="0">
      <selection activeCell="F3" sqref="F3"/>
    </sheetView>
  </sheetViews>
  <sheetFormatPr defaultRowHeight="11"/>
  <cols>
    <col min="1" max="1" width="8.7265625" style="46"/>
    <col min="2" max="3" width="8.7265625" style="46" hidden="1" customWidth="1"/>
    <col min="4" max="4" width="8.7265625" style="46" customWidth="1"/>
    <col min="5" max="5" width="17.26953125" style="46" bestFit="1" customWidth="1"/>
    <col min="6" max="15" width="11.6328125" style="46" customWidth="1"/>
    <col min="16" max="16" width="11.6328125" style="46" hidden="1" customWidth="1"/>
    <col min="17" max="19" width="8.7265625" style="46" hidden="1" customWidth="1"/>
    <col min="20" max="16384" width="8.7265625" style="46"/>
  </cols>
  <sheetData>
    <row r="2" spans="2:19" ht="20" customHeight="1" thickBot="1">
      <c r="E2" s="46" t="s">
        <v>18</v>
      </c>
      <c r="F2" s="47" t="str">
        <f>VLOOKUP(F3,データ!$B$19:$E$24,2,FALSE)</f>
        <v>令和５年度</v>
      </c>
      <c r="G2" s="48" t="str">
        <f>VLOOKUP(F3,データ!$B$19:$E$24,4,FALSE)</f>
        <v>（令和５年４月１日～令和６年３月31日）</v>
      </c>
      <c r="H2" s="48"/>
    </row>
    <row r="3" spans="2:19" ht="20" customHeight="1" thickBot="1">
      <c r="E3" s="49" t="s">
        <v>20</v>
      </c>
      <c r="F3" s="50" t="s">
        <v>39</v>
      </c>
      <c r="G3" s="48" t="str">
        <f>VLOOKUP(F3,データ!$B$19:$E$24,3,FALSE)</f>
        <v>（令和６年４月１日～令和７年３月31日）</v>
      </c>
      <c r="H3" s="48"/>
      <c r="R3" s="46">
        <f>VLOOKUP(F3,データ!$B$19:$G$24,5,FALSE)</f>
        <v>2</v>
      </c>
    </row>
    <row r="4" spans="2:19" ht="20" customHeight="1" thickBot="1">
      <c r="E4" s="49" t="s">
        <v>44</v>
      </c>
      <c r="F4" s="50" t="s">
        <v>83</v>
      </c>
      <c r="R4" s="46">
        <f>VLOOKUP(F4,データ!$B$27:$C$28,2,FALSE)</f>
        <v>2</v>
      </c>
    </row>
    <row r="5" spans="2:19" ht="20" customHeight="1" thickBot="1">
      <c r="E5" s="49" t="s">
        <v>86</v>
      </c>
      <c r="F5" s="50" t="s">
        <v>83</v>
      </c>
      <c r="R5" s="46">
        <f>VLOOKUP(F5,データ!$B$27:$C$28,2,FALSE)</f>
        <v>2</v>
      </c>
    </row>
    <row r="6" spans="2:19" ht="11.5" thickBot="1"/>
    <row r="7" spans="2:19" ht="18" customHeight="1">
      <c r="E7" s="103"/>
      <c r="F7" s="113" t="s">
        <v>18</v>
      </c>
      <c r="G7" s="114"/>
      <c r="H7" s="115"/>
      <c r="I7" s="106" t="s">
        <v>20</v>
      </c>
      <c r="J7" s="107"/>
      <c r="K7" s="107"/>
      <c r="L7" s="107"/>
      <c r="M7" s="107"/>
      <c r="N7" s="107"/>
      <c r="O7" s="108"/>
    </row>
    <row r="8" spans="2:19" ht="18" customHeight="1">
      <c r="E8" s="104"/>
      <c r="F8" s="120" t="s">
        <v>89</v>
      </c>
      <c r="G8" s="51"/>
      <c r="H8" s="52"/>
      <c r="I8" s="111" t="s">
        <v>19</v>
      </c>
      <c r="J8" s="99" t="s">
        <v>95</v>
      </c>
      <c r="K8" s="110"/>
      <c r="L8" s="110"/>
      <c r="M8" s="110"/>
      <c r="N8" s="99" t="s">
        <v>57</v>
      </c>
      <c r="O8" s="109"/>
      <c r="P8" s="47"/>
      <c r="Q8" s="47"/>
    </row>
    <row r="9" spans="2:19" ht="18" customHeight="1">
      <c r="B9" s="46" t="s">
        <v>92</v>
      </c>
      <c r="E9" s="104"/>
      <c r="F9" s="121"/>
      <c r="G9" s="116" t="s">
        <v>84</v>
      </c>
      <c r="H9" s="118" t="s">
        <v>85</v>
      </c>
      <c r="I9" s="111"/>
      <c r="J9" s="99" t="s">
        <v>22</v>
      </c>
      <c r="K9" s="99" t="s">
        <v>38</v>
      </c>
      <c r="L9" s="99" t="s">
        <v>23</v>
      </c>
      <c r="M9" s="110"/>
      <c r="N9" s="99" t="s">
        <v>22</v>
      </c>
      <c r="O9" s="101" t="s">
        <v>38</v>
      </c>
      <c r="P9" s="47"/>
      <c r="Q9" s="47" t="s">
        <v>79</v>
      </c>
      <c r="S9" s="46" t="s">
        <v>88</v>
      </c>
    </row>
    <row r="10" spans="2:19" ht="18" customHeight="1" thickBot="1">
      <c r="B10" s="46" t="s">
        <v>93</v>
      </c>
      <c r="E10" s="105"/>
      <c r="F10" s="122"/>
      <c r="G10" s="117"/>
      <c r="H10" s="119"/>
      <c r="I10" s="112"/>
      <c r="J10" s="100"/>
      <c r="K10" s="100"/>
      <c r="L10" s="53" t="s">
        <v>21</v>
      </c>
      <c r="M10" s="53" t="s">
        <v>24</v>
      </c>
      <c r="N10" s="100"/>
      <c r="O10" s="102"/>
      <c r="P10" s="47"/>
      <c r="Q10" s="47" t="s">
        <v>77</v>
      </c>
      <c r="R10" s="46" t="s">
        <v>78</v>
      </c>
    </row>
    <row r="11" spans="2:19" ht="18" customHeight="1">
      <c r="D11" s="47" t="s">
        <v>91</v>
      </c>
      <c r="E11" s="54"/>
      <c r="F11" s="55" t="s">
        <v>96</v>
      </c>
      <c r="G11" s="56" t="s">
        <v>96</v>
      </c>
      <c r="H11" s="57" t="s">
        <v>96</v>
      </c>
      <c r="I11" s="58" t="s">
        <v>96</v>
      </c>
      <c r="J11" s="56" t="s">
        <v>96</v>
      </c>
      <c r="K11" s="56" t="s">
        <v>27</v>
      </c>
      <c r="L11" s="56" t="s">
        <v>58</v>
      </c>
      <c r="M11" s="56" t="s">
        <v>27</v>
      </c>
      <c r="N11" s="56" t="s">
        <v>96</v>
      </c>
      <c r="O11" s="59" t="s">
        <v>27</v>
      </c>
      <c r="P11" s="47"/>
      <c r="Q11" s="47"/>
    </row>
    <row r="12" spans="2:19" ht="18" customHeight="1">
      <c r="B12" s="60">
        <f t="shared" ref="B12:B17" si="0">G12</f>
        <v>0</v>
      </c>
      <c r="C12" s="46" t="s">
        <v>11</v>
      </c>
      <c r="D12" s="95" t="s">
        <v>93</v>
      </c>
      <c r="E12" s="61" t="s">
        <v>11</v>
      </c>
      <c r="F12" s="62" t="str">
        <f t="shared" ref="F12:F31" si="1">IF($R$5=1,G12+H12,"")</f>
        <v/>
      </c>
      <c r="G12" s="63"/>
      <c r="H12" s="64"/>
      <c r="I12" s="65"/>
      <c r="J12" s="66" t="str">
        <f>IF(OR(I12="",G12&gt;1300,$G$31&gt;10000),"",IF(I12&gt;200,200,I12))</f>
        <v/>
      </c>
      <c r="K12" s="63"/>
      <c r="L12" s="67" t="str">
        <f>IF(J12="","",IF(G12&gt;1000,VLOOKUP($E12,データ!$B$5:$L$12,$R$3+5,FALSE)+IF($R$4=2,0,(1-VLOOKUP($E12,データ!$B$5:$L$12,$R$3+5,FALSE))*VLOOKUP("清酒等",データ!$B$16:$G$16,入力表!$R$3)),VLOOKUP($E12,データ!$B$5:$L$12,$R$3,FALSE)+IF($R$4=2,0,(1-VLOOKUP($E12,データ!$B$5:$L$12,$R$3,FALSE))*VLOOKUP("清酒等",データ!$B$16:$G$16,入力表!$R$3))))</f>
        <v/>
      </c>
      <c r="M12" s="66" t="str">
        <f>IF(J12="","",K12*L12)</f>
        <v/>
      </c>
      <c r="N12" s="66" t="str">
        <f>IF(I12="","",IF(J12="",I12,IF(I12=J12,"",I12-J12)))</f>
        <v/>
      </c>
      <c r="O12" s="68"/>
      <c r="Q12" s="46" t="str">
        <f t="shared" ref="Q12:Q30" si="2">IF(J12="","",K12)</f>
        <v/>
      </c>
      <c r="R12" s="46" t="str">
        <f t="shared" ref="R12:R30" si="3">IF(N12="","",O12)</f>
        <v/>
      </c>
      <c r="S12" s="60">
        <f>IF($R$5=1,H12,0)</f>
        <v>0</v>
      </c>
    </row>
    <row r="13" spans="2:19" ht="18" customHeight="1">
      <c r="B13" s="60">
        <f t="shared" si="0"/>
        <v>0</v>
      </c>
      <c r="C13" s="46" t="s">
        <v>12</v>
      </c>
      <c r="D13" s="95" t="s">
        <v>93</v>
      </c>
      <c r="E13" s="69" t="s">
        <v>12</v>
      </c>
      <c r="F13" s="62" t="str">
        <f t="shared" si="1"/>
        <v/>
      </c>
      <c r="G13" s="63"/>
      <c r="H13" s="71"/>
      <c r="I13" s="72"/>
      <c r="J13" s="66" t="str">
        <f>IF(OR(I13="",G13&gt;1300,$G$31&gt;10000),"",IF(I13&gt;200,200,I13))</f>
        <v/>
      </c>
      <c r="K13" s="70"/>
      <c r="L13" s="67" t="str">
        <f>IF(J13="","",IF(G13&gt;1000,VLOOKUP($E13,データ!$B$5:$L$12,$R$3+5,FALSE)+IF($R$4=2,0,(1-VLOOKUP($E13,データ!$B$5:$L$12,$R$3+5,FALSE))*VLOOKUP("清酒等",データ!$B$16:$G$16,入力表!$R$3)),VLOOKUP($E13,データ!$B$5:$L$12,$R$3,FALSE)+IF($R$4=2,0,(1-VLOOKUP($E13,データ!$B$5:$L$12,$R$3,FALSE))*VLOOKUP("清酒等",データ!$B$16:$G$16,入力表!$R$3))))</f>
        <v/>
      </c>
      <c r="M13" s="66" t="str">
        <f t="shared" ref="M13:M15" si="4">IF(J13="","",K13*L13)</f>
        <v/>
      </c>
      <c r="N13" s="66" t="str">
        <f t="shared" ref="N13:N30" si="5">IF(I13="","",IF(J13="",I13,IF(I13=J13,"",I13-J13)))</f>
        <v/>
      </c>
      <c r="O13" s="73"/>
      <c r="Q13" s="46" t="str">
        <f t="shared" si="2"/>
        <v/>
      </c>
      <c r="R13" s="46" t="str">
        <f t="shared" si="3"/>
        <v/>
      </c>
      <c r="S13" s="60">
        <f t="shared" ref="S13:S30" si="6">IF($R$5=1,H13,0)</f>
        <v>0</v>
      </c>
    </row>
    <row r="14" spans="2:19" ht="18" customHeight="1">
      <c r="B14" s="60">
        <f t="shared" si="0"/>
        <v>0</v>
      </c>
      <c r="C14" s="46" t="s">
        <v>13</v>
      </c>
      <c r="D14" s="95" t="s">
        <v>93</v>
      </c>
      <c r="E14" s="69" t="s">
        <v>13</v>
      </c>
      <c r="F14" s="62" t="str">
        <f t="shared" si="1"/>
        <v/>
      </c>
      <c r="G14" s="63"/>
      <c r="H14" s="71"/>
      <c r="I14" s="72"/>
      <c r="J14" s="66" t="str">
        <f>IF(OR(I14="",G14&gt;1300,$G$31&gt;10000),"",IF(I14&gt;200,200,I14))</f>
        <v/>
      </c>
      <c r="K14" s="70"/>
      <c r="L14" s="67" t="str">
        <f>IF(J14="","",IF(G14&gt;1000,VLOOKUP($E14,データ!$B$5:$L$12,$R$3+5,FALSE)+IF($R$4=2,0,(1-VLOOKUP($E14,データ!$B$5:$L$12,$R$3+5,FALSE))*VLOOKUP("清酒等",データ!$B$16:$G$16,入力表!$R$3)),VLOOKUP($E14,データ!$B$5:$L$12,$R$3,FALSE)+IF($R$4=2,0,(1-VLOOKUP($E14,データ!$B$5:$L$12,$R$3,FALSE))*VLOOKUP("清酒等",データ!$B$16:$G$16,入力表!$R$3))))</f>
        <v/>
      </c>
      <c r="M14" s="66" t="str">
        <f t="shared" si="4"/>
        <v/>
      </c>
      <c r="N14" s="66" t="str">
        <f t="shared" si="5"/>
        <v/>
      </c>
      <c r="O14" s="73"/>
      <c r="Q14" s="46" t="str">
        <f t="shared" si="2"/>
        <v/>
      </c>
      <c r="R14" s="46" t="str">
        <f t="shared" si="3"/>
        <v/>
      </c>
      <c r="S14" s="60">
        <f t="shared" si="6"/>
        <v>0</v>
      </c>
    </row>
    <row r="15" spans="2:19" ht="18" customHeight="1">
      <c r="B15" s="60">
        <f t="shared" si="0"/>
        <v>0</v>
      </c>
      <c r="C15" s="46" t="s">
        <v>14</v>
      </c>
      <c r="D15" s="95" t="s">
        <v>93</v>
      </c>
      <c r="E15" s="69" t="s">
        <v>14</v>
      </c>
      <c r="F15" s="62" t="str">
        <f t="shared" si="1"/>
        <v/>
      </c>
      <c r="G15" s="63"/>
      <c r="H15" s="71"/>
      <c r="I15" s="72"/>
      <c r="J15" s="66" t="str">
        <f>IF(OR(I15="",G15&gt;1300,$G$31&gt;10000),"",IF(I15&gt;200,200,I15))</f>
        <v/>
      </c>
      <c r="K15" s="70"/>
      <c r="L15" s="67" t="str">
        <f>IF(J15="","",IF(G15&gt;1000,VLOOKUP($E15,データ!$B$5:$L$12,$R$3+5,FALSE)+IF($R$4=2,0,(1-VLOOKUP($E15,データ!$B$5:$L$12,$R$3+5,FALSE))*VLOOKUP("清酒等",データ!$B$16:$G$16,入力表!$R$3)),VLOOKUP($E15,データ!$B$5:$L$12,$R$3,FALSE)+IF($R$4=2,0,(1-VLOOKUP($E15,データ!$B$5:$L$12,$R$3,FALSE))*VLOOKUP("清酒等",データ!$B$16:$G$16,入力表!$R$3))))</f>
        <v/>
      </c>
      <c r="M15" s="66" t="str">
        <f t="shared" si="4"/>
        <v/>
      </c>
      <c r="N15" s="66" t="str">
        <f t="shared" si="5"/>
        <v/>
      </c>
      <c r="O15" s="73"/>
      <c r="Q15" s="46" t="str">
        <f t="shared" si="2"/>
        <v/>
      </c>
      <c r="R15" s="46" t="str">
        <f t="shared" si="3"/>
        <v/>
      </c>
      <c r="S15" s="60">
        <f t="shared" si="6"/>
        <v>0</v>
      </c>
    </row>
    <row r="16" spans="2:19" ht="18" customHeight="1">
      <c r="B16" s="60">
        <f t="shared" si="0"/>
        <v>0</v>
      </c>
      <c r="C16" s="46" t="s">
        <v>1</v>
      </c>
      <c r="D16" s="95" t="s">
        <v>93</v>
      </c>
      <c r="E16" s="69" t="s">
        <v>1</v>
      </c>
      <c r="F16" s="62" t="str">
        <f t="shared" si="1"/>
        <v/>
      </c>
      <c r="G16" s="63"/>
      <c r="H16" s="71"/>
      <c r="I16" s="72"/>
      <c r="J16" s="74"/>
      <c r="K16" s="74"/>
      <c r="L16" s="74"/>
      <c r="M16" s="74"/>
      <c r="N16" s="75" t="str">
        <f t="shared" si="5"/>
        <v/>
      </c>
      <c r="O16" s="73"/>
      <c r="Q16" s="46" t="str">
        <f t="shared" si="2"/>
        <v/>
      </c>
      <c r="R16" s="46" t="str">
        <f t="shared" si="3"/>
        <v/>
      </c>
      <c r="S16" s="60">
        <f t="shared" si="6"/>
        <v>0</v>
      </c>
    </row>
    <row r="17" spans="2:19" ht="18" customHeight="1">
      <c r="B17" s="60">
        <f t="shared" si="0"/>
        <v>0</v>
      </c>
      <c r="C17" s="46" t="s">
        <v>15</v>
      </c>
      <c r="D17" s="95" t="s">
        <v>93</v>
      </c>
      <c r="E17" s="69" t="s">
        <v>15</v>
      </c>
      <c r="F17" s="62" t="str">
        <f t="shared" si="1"/>
        <v/>
      </c>
      <c r="G17" s="63"/>
      <c r="H17" s="71"/>
      <c r="I17" s="72"/>
      <c r="J17" s="66" t="str">
        <f t="shared" ref="J17" si="7">IF(OR(I17="",G17&gt;1300,$G$31&gt;10000),"",IF(I17&gt;200,200,I17))</f>
        <v/>
      </c>
      <c r="K17" s="70"/>
      <c r="L17" s="67" t="str">
        <f>IF(J17="","",IF(G17&gt;1000,VLOOKUP($E17,データ!$B$5:$L$12,$R$3+5,FALSE),VLOOKUP($E17,データ!$B$5:$L$12,$R$3,FALSE)))</f>
        <v/>
      </c>
      <c r="M17" s="66" t="str">
        <f t="shared" ref="M17:M19" si="8">IF(J17="","",K17*L17)</f>
        <v/>
      </c>
      <c r="N17" s="66" t="str">
        <f t="shared" si="5"/>
        <v/>
      </c>
      <c r="O17" s="73"/>
      <c r="Q17" s="46" t="str">
        <f t="shared" si="2"/>
        <v/>
      </c>
      <c r="R17" s="46" t="str">
        <f t="shared" si="3"/>
        <v/>
      </c>
      <c r="S17" s="60">
        <f t="shared" si="6"/>
        <v>0</v>
      </c>
    </row>
    <row r="18" spans="2:19" ht="18" customHeight="1">
      <c r="B18" s="60">
        <f>G18+G19</f>
        <v>0</v>
      </c>
      <c r="C18" s="46" t="s">
        <v>16</v>
      </c>
      <c r="D18" s="95" t="s">
        <v>93</v>
      </c>
      <c r="E18" s="69" t="s">
        <v>28</v>
      </c>
      <c r="F18" s="62" t="str">
        <f t="shared" si="1"/>
        <v/>
      </c>
      <c r="G18" s="63"/>
      <c r="H18" s="71"/>
      <c r="I18" s="72"/>
      <c r="J18" s="66" t="str">
        <f>IF(OR(I18="",G18+G19&gt;1300,$G$31&gt;10000),"",IF(I18+I19&gt;200,200*I18/(I18+I19),I18))</f>
        <v/>
      </c>
      <c r="K18" s="70"/>
      <c r="L18" s="67" t="str">
        <f>IF(J18="","",IF(G18&gt;1000,VLOOKUP($E18,データ!$B$5:$L$12,$R$3+5,FALSE)+IF($R$4=2,0,(1-VLOOKUP($E18,データ!$B$5:$L$12,$R$3+5,FALSE))*VLOOKUP("清酒等",データ!$B$16:$G$16,入力表!$R$3)),VLOOKUP($E18,データ!$B$5:$L$12,$R$3,FALSE)+IF($R$4=2,0,(1-VLOOKUP($E18,データ!$B$5:$L$12,$R$3,FALSE))*VLOOKUP("清酒等",データ!$B$16:$G$16,入力表!$R$3))))</f>
        <v/>
      </c>
      <c r="M18" s="66" t="str">
        <f t="shared" si="8"/>
        <v/>
      </c>
      <c r="N18" s="66" t="str">
        <f t="shared" si="5"/>
        <v/>
      </c>
      <c r="O18" s="73"/>
      <c r="Q18" s="46" t="str">
        <f t="shared" si="2"/>
        <v/>
      </c>
      <c r="R18" s="46" t="str">
        <f t="shared" si="3"/>
        <v/>
      </c>
      <c r="S18" s="60">
        <f t="shared" si="6"/>
        <v>0</v>
      </c>
    </row>
    <row r="19" spans="2:19" ht="18" customHeight="1">
      <c r="B19" s="60"/>
      <c r="D19" s="96" t="str">
        <f>D18</f>
        <v>無</v>
      </c>
      <c r="E19" s="69" t="s">
        <v>29</v>
      </c>
      <c r="F19" s="62" t="str">
        <f t="shared" si="1"/>
        <v/>
      </c>
      <c r="G19" s="63"/>
      <c r="H19" s="71"/>
      <c r="I19" s="72"/>
      <c r="J19" s="66" t="str">
        <f>IF(OR(I19="",G18+G19&gt;1300,$G$31&gt;10000),"",IF(I18+I19&gt;200,200*I19/(I18+I19),I19))</f>
        <v/>
      </c>
      <c r="K19" s="70"/>
      <c r="L19" s="67" t="str">
        <f>IF(J19="","",IF(G19&gt;1000,VLOOKUP($E19,データ!$B$5:$L$12,$R$3+5,FALSE)+IF($R$4=2,0,(1-VLOOKUP($E19,データ!$B$5:$L$12,$R$3+5,FALSE))*VLOOKUP("清酒等",データ!$B$16:$G$16,入力表!$R$3)),VLOOKUP($E19,データ!$B$5:$L$12,$R$3,FALSE)+IF($R$4=2,0,(1-VLOOKUP($E19,データ!$B$5:$L$12,$R$3,FALSE))*VLOOKUP("清酒等",データ!$B$16:$G$16,入力表!$R$3))))</f>
        <v/>
      </c>
      <c r="M19" s="66" t="str">
        <f t="shared" si="8"/>
        <v/>
      </c>
      <c r="N19" s="66" t="str">
        <f t="shared" si="5"/>
        <v/>
      </c>
      <c r="O19" s="73"/>
      <c r="Q19" s="46" t="str">
        <f t="shared" si="2"/>
        <v/>
      </c>
      <c r="R19" s="46" t="str">
        <f t="shared" si="3"/>
        <v/>
      </c>
      <c r="S19" s="60">
        <f t="shared" si="6"/>
        <v>0</v>
      </c>
    </row>
    <row r="20" spans="2:19" ht="18" customHeight="1">
      <c r="B20" s="60">
        <f>G20</f>
        <v>0</v>
      </c>
      <c r="C20" s="46" t="s">
        <v>2</v>
      </c>
      <c r="D20" s="95" t="s">
        <v>93</v>
      </c>
      <c r="E20" s="69" t="s">
        <v>2</v>
      </c>
      <c r="F20" s="62" t="str">
        <f t="shared" si="1"/>
        <v/>
      </c>
      <c r="G20" s="63"/>
      <c r="H20" s="71"/>
      <c r="I20" s="72"/>
      <c r="J20" s="74"/>
      <c r="K20" s="74"/>
      <c r="L20" s="74"/>
      <c r="M20" s="74"/>
      <c r="N20" s="75" t="str">
        <f t="shared" si="5"/>
        <v/>
      </c>
      <c r="O20" s="73"/>
      <c r="Q20" s="46" t="str">
        <f t="shared" si="2"/>
        <v/>
      </c>
      <c r="R20" s="46" t="str">
        <f t="shared" si="3"/>
        <v/>
      </c>
      <c r="S20" s="60">
        <f t="shared" si="6"/>
        <v>0</v>
      </c>
    </row>
    <row r="21" spans="2:19" ht="18" customHeight="1">
      <c r="B21" s="60">
        <f>G21</f>
        <v>0</v>
      </c>
      <c r="C21" s="46" t="s">
        <v>3</v>
      </c>
      <c r="D21" s="95" t="s">
        <v>93</v>
      </c>
      <c r="E21" s="69" t="s">
        <v>3</v>
      </c>
      <c r="F21" s="62" t="str">
        <f t="shared" si="1"/>
        <v/>
      </c>
      <c r="G21" s="70"/>
      <c r="H21" s="71"/>
      <c r="I21" s="72"/>
      <c r="J21" s="74"/>
      <c r="K21" s="74"/>
      <c r="L21" s="74"/>
      <c r="M21" s="74"/>
      <c r="N21" s="75" t="str">
        <f t="shared" si="5"/>
        <v/>
      </c>
      <c r="O21" s="73"/>
      <c r="Q21" s="46" t="str">
        <f t="shared" si="2"/>
        <v/>
      </c>
      <c r="R21" s="46" t="str">
        <f t="shared" si="3"/>
        <v/>
      </c>
      <c r="S21" s="60">
        <f t="shared" si="6"/>
        <v>0</v>
      </c>
    </row>
    <row r="22" spans="2:19" ht="18" customHeight="1">
      <c r="B22" s="60">
        <f>G22</f>
        <v>0</v>
      </c>
      <c r="C22" s="46" t="s">
        <v>4</v>
      </c>
      <c r="D22" s="95" t="s">
        <v>93</v>
      </c>
      <c r="E22" s="69" t="s">
        <v>4</v>
      </c>
      <c r="F22" s="62" t="str">
        <f t="shared" si="1"/>
        <v/>
      </c>
      <c r="G22" s="70"/>
      <c r="H22" s="71"/>
      <c r="I22" s="72"/>
      <c r="J22" s="74"/>
      <c r="K22" s="74"/>
      <c r="L22" s="74"/>
      <c r="M22" s="74"/>
      <c r="N22" s="75" t="str">
        <f t="shared" si="5"/>
        <v/>
      </c>
      <c r="O22" s="73"/>
      <c r="Q22" s="46" t="str">
        <f t="shared" si="2"/>
        <v/>
      </c>
      <c r="R22" s="46" t="str">
        <f t="shared" si="3"/>
        <v/>
      </c>
      <c r="S22" s="60">
        <f t="shared" si="6"/>
        <v>0</v>
      </c>
    </row>
    <row r="23" spans="2:19" ht="18" customHeight="1">
      <c r="B23" s="60">
        <f>G23</f>
        <v>0</v>
      </c>
      <c r="C23" s="46" t="s">
        <v>5</v>
      </c>
      <c r="D23" s="95" t="s">
        <v>93</v>
      </c>
      <c r="E23" s="69" t="s">
        <v>5</v>
      </c>
      <c r="F23" s="62" t="str">
        <f t="shared" si="1"/>
        <v/>
      </c>
      <c r="G23" s="70"/>
      <c r="H23" s="71"/>
      <c r="I23" s="72"/>
      <c r="J23" s="74"/>
      <c r="K23" s="74"/>
      <c r="L23" s="74"/>
      <c r="M23" s="74"/>
      <c r="N23" s="75" t="str">
        <f t="shared" si="5"/>
        <v/>
      </c>
      <c r="O23" s="73"/>
      <c r="Q23" s="46" t="str">
        <f t="shared" si="2"/>
        <v/>
      </c>
      <c r="R23" s="46" t="str">
        <f t="shared" si="3"/>
        <v/>
      </c>
      <c r="S23" s="60">
        <f t="shared" si="6"/>
        <v>0</v>
      </c>
    </row>
    <row r="24" spans="2:19" ht="18" customHeight="1">
      <c r="B24" s="60">
        <f>G24+G25</f>
        <v>0</v>
      </c>
      <c r="C24" s="46" t="s">
        <v>17</v>
      </c>
      <c r="D24" s="95" t="s">
        <v>93</v>
      </c>
      <c r="E24" s="69" t="s">
        <v>25</v>
      </c>
      <c r="F24" s="62" t="str">
        <f t="shared" si="1"/>
        <v/>
      </c>
      <c r="G24" s="70"/>
      <c r="H24" s="71"/>
      <c r="I24" s="72"/>
      <c r="J24" s="66" t="str">
        <f>IF(OR(I24="",G24&gt;1300,$G$31&gt;10000),"",IF(I24&gt;200,200,I24))</f>
        <v/>
      </c>
      <c r="K24" s="70"/>
      <c r="L24" s="67" t="str">
        <f>IF(J24="","",IF(G24&gt;1000,VLOOKUP($E24,データ!$B$5:$L$12,$R$3+5,FALSE)+IF($R$4=2,0,(1-VLOOKUP($E24,データ!$B$5:$L$12,$R$3+5,FALSE))*VLOOKUP("清酒等",データ!$B$16:$G$16,入力表!$R$3)),VLOOKUP($E24,データ!$B$5:$L$12,$R$3,FALSE)+IF($R$4=2,0,(1-VLOOKUP($E24,データ!$B$5:$L$12,$R$3,FALSE))*VLOOKUP("清酒等",データ!$B$16:$G$16,入力表!$R$3))))</f>
        <v/>
      </c>
      <c r="M24" s="66" t="str">
        <f>IF(J24="","",K24*L24)</f>
        <v/>
      </c>
      <c r="N24" s="66" t="str">
        <f t="shared" si="5"/>
        <v/>
      </c>
      <c r="O24" s="73"/>
      <c r="Q24" s="46" t="str">
        <f t="shared" si="2"/>
        <v/>
      </c>
      <c r="R24" s="46" t="str">
        <f t="shared" si="3"/>
        <v/>
      </c>
      <c r="S24" s="60">
        <f t="shared" si="6"/>
        <v>0</v>
      </c>
    </row>
    <row r="25" spans="2:19" ht="18" customHeight="1">
      <c r="B25" s="60"/>
      <c r="D25" s="96" t="str">
        <f>D24</f>
        <v>無</v>
      </c>
      <c r="E25" s="69" t="s">
        <v>26</v>
      </c>
      <c r="F25" s="62" t="str">
        <f t="shared" si="1"/>
        <v/>
      </c>
      <c r="G25" s="70"/>
      <c r="H25" s="71"/>
      <c r="I25" s="72"/>
      <c r="J25" s="74"/>
      <c r="K25" s="74"/>
      <c r="L25" s="74"/>
      <c r="M25" s="74"/>
      <c r="N25" s="75" t="str">
        <f t="shared" si="5"/>
        <v/>
      </c>
      <c r="O25" s="73"/>
      <c r="Q25" s="46" t="str">
        <f t="shared" si="2"/>
        <v/>
      </c>
      <c r="R25" s="46" t="str">
        <f t="shared" si="3"/>
        <v/>
      </c>
      <c r="S25" s="60">
        <f t="shared" si="6"/>
        <v>0</v>
      </c>
    </row>
    <row r="26" spans="2:19" ht="18" customHeight="1">
      <c r="B26" s="60">
        <f>G26</f>
        <v>0</v>
      </c>
      <c r="C26" s="46" t="s">
        <v>6</v>
      </c>
      <c r="D26" s="95" t="s">
        <v>93</v>
      </c>
      <c r="E26" s="69" t="s">
        <v>6</v>
      </c>
      <c r="F26" s="62" t="str">
        <f t="shared" si="1"/>
        <v/>
      </c>
      <c r="G26" s="70"/>
      <c r="H26" s="71"/>
      <c r="I26" s="72"/>
      <c r="J26" s="74"/>
      <c r="K26" s="74"/>
      <c r="L26" s="74"/>
      <c r="M26" s="74"/>
      <c r="N26" s="75" t="str">
        <f t="shared" si="5"/>
        <v/>
      </c>
      <c r="O26" s="73"/>
      <c r="Q26" s="46" t="str">
        <f t="shared" si="2"/>
        <v/>
      </c>
      <c r="R26" s="46" t="str">
        <f t="shared" si="3"/>
        <v/>
      </c>
      <c r="S26" s="60">
        <f t="shared" si="6"/>
        <v>0</v>
      </c>
    </row>
    <row r="27" spans="2:19" ht="18" customHeight="1">
      <c r="B27" s="60">
        <f>G27</f>
        <v>0</v>
      </c>
      <c r="C27" s="46" t="s">
        <v>7</v>
      </c>
      <c r="D27" s="95" t="s">
        <v>93</v>
      </c>
      <c r="E27" s="69" t="s">
        <v>7</v>
      </c>
      <c r="F27" s="62" t="str">
        <f t="shared" si="1"/>
        <v/>
      </c>
      <c r="G27" s="70"/>
      <c r="H27" s="71"/>
      <c r="I27" s="72"/>
      <c r="J27" s="74"/>
      <c r="K27" s="74"/>
      <c r="L27" s="74"/>
      <c r="M27" s="74"/>
      <c r="N27" s="75" t="str">
        <f t="shared" si="5"/>
        <v/>
      </c>
      <c r="O27" s="73"/>
      <c r="Q27" s="46" t="str">
        <f t="shared" si="2"/>
        <v/>
      </c>
      <c r="R27" s="46" t="str">
        <f t="shared" si="3"/>
        <v/>
      </c>
      <c r="S27" s="60">
        <f t="shared" si="6"/>
        <v>0</v>
      </c>
    </row>
    <row r="28" spans="2:19" ht="18" customHeight="1">
      <c r="B28" s="60">
        <f>G28</f>
        <v>0</v>
      </c>
      <c r="C28" s="46" t="s">
        <v>8</v>
      </c>
      <c r="D28" s="95" t="s">
        <v>93</v>
      </c>
      <c r="E28" s="69" t="s">
        <v>8</v>
      </c>
      <c r="F28" s="62" t="str">
        <f t="shared" si="1"/>
        <v/>
      </c>
      <c r="G28" s="70"/>
      <c r="H28" s="71"/>
      <c r="I28" s="72"/>
      <c r="J28" s="74"/>
      <c r="K28" s="74"/>
      <c r="L28" s="74"/>
      <c r="M28" s="74"/>
      <c r="N28" s="75" t="str">
        <f t="shared" si="5"/>
        <v/>
      </c>
      <c r="O28" s="73"/>
      <c r="Q28" s="46" t="str">
        <f t="shared" si="2"/>
        <v/>
      </c>
      <c r="R28" s="46" t="str">
        <f t="shared" si="3"/>
        <v/>
      </c>
      <c r="S28" s="60">
        <f t="shared" si="6"/>
        <v>0</v>
      </c>
    </row>
    <row r="29" spans="2:19" ht="18" customHeight="1">
      <c r="B29" s="60">
        <f>G29</f>
        <v>0</v>
      </c>
      <c r="C29" s="46" t="s">
        <v>9</v>
      </c>
      <c r="D29" s="95" t="s">
        <v>93</v>
      </c>
      <c r="E29" s="69" t="s">
        <v>9</v>
      </c>
      <c r="F29" s="62" t="str">
        <f t="shared" si="1"/>
        <v/>
      </c>
      <c r="G29" s="70"/>
      <c r="H29" s="71"/>
      <c r="I29" s="72"/>
      <c r="J29" s="74"/>
      <c r="K29" s="74"/>
      <c r="L29" s="74"/>
      <c r="M29" s="74"/>
      <c r="N29" s="75" t="str">
        <f t="shared" si="5"/>
        <v/>
      </c>
      <c r="O29" s="73"/>
      <c r="Q29" s="46" t="str">
        <f t="shared" si="2"/>
        <v/>
      </c>
      <c r="R29" s="46" t="str">
        <f t="shared" si="3"/>
        <v/>
      </c>
      <c r="S29" s="60">
        <f t="shared" si="6"/>
        <v>0</v>
      </c>
    </row>
    <row r="30" spans="2:19" ht="18" customHeight="1" thickBot="1">
      <c r="B30" s="60">
        <f>G30</f>
        <v>0</v>
      </c>
      <c r="C30" s="46" t="s">
        <v>10</v>
      </c>
      <c r="D30" s="95" t="s">
        <v>93</v>
      </c>
      <c r="E30" s="76" t="s">
        <v>10</v>
      </c>
      <c r="F30" s="77" t="str">
        <f t="shared" si="1"/>
        <v/>
      </c>
      <c r="G30" s="78"/>
      <c r="H30" s="79"/>
      <c r="I30" s="80"/>
      <c r="J30" s="81"/>
      <c r="K30" s="81"/>
      <c r="L30" s="81"/>
      <c r="M30" s="81"/>
      <c r="N30" s="82" t="str">
        <f t="shared" si="5"/>
        <v/>
      </c>
      <c r="O30" s="83"/>
      <c r="Q30" s="46" t="str">
        <f t="shared" si="2"/>
        <v/>
      </c>
      <c r="R30" s="46" t="str">
        <f t="shared" si="3"/>
        <v/>
      </c>
      <c r="S30" s="60">
        <f t="shared" si="6"/>
        <v>0</v>
      </c>
    </row>
    <row r="31" spans="2:19" ht="18" customHeight="1" thickTop="1" thickBot="1">
      <c r="E31" s="84" t="s">
        <v>0</v>
      </c>
      <c r="F31" s="85" t="str">
        <f t="shared" si="1"/>
        <v/>
      </c>
      <c r="G31" s="86">
        <f>SUM(G12:G30)</f>
        <v>0</v>
      </c>
      <c r="H31" s="87" t="str">
        <f>IF(R5=1,SUM(S12:S30),"")</f>
        <v/>
      </c>
      <c r="I31" s="88">
        <f>SUM(I12:I30)</f>
        <v>0</v>
      </c>
      <c r="J31" s="89">
        <f t="shared" ref="J31" si="9">SUM(J12:J30)</f>
        <v>0</v>
      </c>
      <c r="K31" s="90">
        <f>Q31</f>
        <v>0</v>
      </c>
      <c r="L31" s="91"/>
      <c r="M31" s="86">
        <f>SUM(M12:M30)</f>
        <v>0</v>
      </c>
      <c r="N31" s="86">
        <f>SUM(N12:N30)</f>
        <v>0</v>
      </c>
      <c r="O31" s="92">
        <f>R31</f>
        <v>0</v>
      </c>
      <c r="Q31" s="46">
        <f>SUM(Q12:Q30)</f>
        <v>0</v>
      </c>
      <c r="R31" s="46">
        <f>SUM(R12:R30)</f>
        <v>0</v>
      </c>
    </row>
    <row r="32" spans="2:19" ht="18" customHeight="1">
      <c r="J32" s="97" t="s">
        <v>94</v>
      </c>
      <c r="K32" s="98">
        <f>SUMIF($D$12:$D$30,$B$9,$K$12:$K$30)</f>
        <v>0</v>
      </c>
      <c r="N32" s="97" t="s">
        <v>94</v>
      </c>
      <c r="O32" s="98">
        <f>SUMIF($D$12:$D$30,$B$9,$O$12:$O$30)</f>
        <v>0</v>
      </c>
    </row>
  </sheetData>
  <sheetProtection sheet="1" objects="1" scenarios="1"/>
  <mergeCells count="14">
    <mergeCell ref="K9:K10"/>
    <mergeCell ref="N9:N10"/>
    <mergeCell ref="O9:O10"/>
    <mergeCell ref="E7:E10"/>
    <mergeCell ref="I7:O7"/>
    <mergeCell ref="N8:O8"/>
    <mergeCell ref="L9:M9"/>
    <mergeCell ref="I8:I10"/>
    <mergeCell ref="J9:J10"/>
    <mergeCell ref="J8:M8"/>
    <mergeCell ref="F7:H7"/>
    <mergeCell ref="G9:G10"/>
    <mergeCell ref="H9:H10"/>
    <mergeCell ref="F8:F10"/>
  </mergeCells>
  <phoneticPr fontId="3"/>
  <conditionalFormatting sqref="O12:O30">
    <cfRule type="expression" dxfId="19" priority="15">
      <formula>OR($N12="",$N12=0)</formula>
    </cfRule>
    <cfRule type="expression" dxfId="18" priority="16">
      <formula>O12</formula>
    </cfRule>
    <cfRule type="expression" dxfId="17" priority="17">
      <formula>$N12&gt;0</formula>
    </cfRule>
  </conditionalFormatting>
  <conditionalFormatting sqref="K12:K30">
    <cfRule type="expression" dxfId="16" priority="12">
      <formula>OR($J12="",$J12=0)</formula>
    </cfRule>
    <cfRule type="expression" dxfId="15" priority="13">
      <formula>K12&gt;0</formula>
    </cfRule>
    <cfRule type="expression" dxfId="14" priority="14">
      <formula>$J12&gt;0</formula>
    </cfRule>
  </conditionalFormatting>
  <conditionalFormatting sqref="J12:J15 L12:M15 L17:M19 L24:M24">
    <cfRule type="expression" dxfId="13" priority="8">
      <formula>$I12=""</formula>
    </cfRule>
    <cfRule type="expression" dxfId="12" priority="11">
      <formula>$J12=""</formula>
    </cfRule>
  </conditionalFormatting>
  <conditionalFormatting sqref="J17:J19">
    <cfRule type="expression" dxfId="11" priority="7">
      <formula>$I17=""</formula>
    </cfRule>
    <cfRule type="expression" dxfId="10" priority="10">
      <formula>$J17=""</formula>
    </cfRule>
  </conditionalFormatting>
  <conditionalFormatting sqref="J24">
    <cfRule type="expression" dxfId="9" priority="6">
      <formula>$I24=""</formula>
    </cfRule>
    <cfRule type="expression" dxfId="8" priority="9">
      <formula>$J24=""</formula>
    </cfRule>
  </conditionalFormatting>
  <conditionalFormatting sqref="N12:N30">
    <cfRule type="expression" dxfId="7" priority="5">
      <formula>N12=""</formula>
    </cfRule>
  </conditionalFormatting>
  <conditionalFormatting sqref="F11:F31">
    <cfRule type="expression" dxfId="6" priority="2">
      <formula>$R$5=1</formula>
    </cfRule>
  </conditionalFormatting>
  <conditionalFormatting sqref="H11:H31">
    <cfRule type="expression" dxfId="5" priority="1">
      <formula>$R$5=1</formula>
    </cfRule>
  </conditionalFormatting>
  <dataValidations count="1">
    <dataValidation type="list" allowBlank="1" showInputMessage="1" showErrorMessage="1" sqref="D12:D30" xr:uid="{8E2B703E-A47C-457C-933A-1DBCC8C319E8}">
      <formula1>$B$9:$B$10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D274726-5EBB-4AE5-9AAF-FA644BA0DE54}">
          <x14:formula1>
            <xm:f>データ!$B$20:$B$24</xm:f>
          </x14:formula1>
          <xm:sqref>F3</xm:sqref>
        </x14:dataValidation>
        <x14:dataValidation type="list" allowBlank="1" showInputMessage="1" showErrorMessage="1" xr:uid="{F2E6D65A-1BD4-416B-B172-EF3CF71FDC14}">
          <x14:formula1>
            <xm:f>データ!$B$27:$B$28</xm:f>
          </x14:formula1>
          <xm:sqref>F4:F5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5858A-FABF-4E13-AD23-6B14B2E007A5}">
  <dimension ref="B2:L24"/>
  <sheetViews>
    <sheetView workbookViewId="0">
      <selection activeCell="H4" sqref="H4"/>
    </sheetView>
  </sheetViews>
  <sheetFormatPr defaultRowHeight="24" customHeight="1"/>
  <cols>
    <col min="2" max="3" width="18.36328125" customWidth="1"/>
    <col min="4" max="4" width="14.26953125" customWidth="1"/>
    <col min="5" max="5" width="18.36328125" customWidth="1"/>
    <col min="6" max="9" width="12.7265625" customWidth="1"/>
    <col min="10" max="10" width="14.36328125" customWidth="1"/>
  </cols>
  <sheetData>
    <row r="2" spans="2:12" ht="24" customHeight="1" thickBot="1">
      <c r="B2" s="2" t="str">
        <f>入力表!F2&amp;入力表!G2</f>
        <v>令和５年度（令和５年４月１日～令和６年３月31日）</v>
      </c>
    </row>
    <row r="3" spans="2:12" ht="24" customHeight="1">
      <c r="B3" s="93" t="s">
        <v>59</v>
      </c>
      <c r="C3" s="94" t="s">
        <v>90</v>
      </c>
      <c r="D3" s="41" t="s">
        <v>60</v>
      </c>
      <c r="E3" s="146" t="s">
        <v>66</v>
      </c>
      <c r="F3" s="147"/>
      <c r="H3" s="40" t="s">
        <v>80</v>
      </c>
      <c r="I3" s="41" t="s">
        <v>76</v>
      </c>
      <c r="J3" s="35" t="s">
        <v>75</v>
      </c>
    </row>
    <row r="4" spans="2:12" ht="24" customHeight="1" thickBot="1">
      <c r="B4" s="160">
        <f>IF(入力表!R5=1,入力表!F31,入力表!G31)</f>
        <v>0</v>
      </c>
      <c r="C4" s="161">
        <f>入力表!G31</f>
        <v>0</v>
      </c>
      <c r="D4" s="42" t="str">
        <f>VLOOKUP(E4,入力表!B:C,2,FALSE)</f>
        <v>清酒</v>
      </c>
      <c r="E4" s="162">
        <f>MAX(入力表!B:B)</f>
        <v>0</v>
      </c>
      <c r="F4" s="163"/>
      <c r="H4" s="45"/>
      <c r="I4" s="43"/>
      <c r="J4" s="44"/>
      <c r="K4">
        <f>IF(AND(B6="⇒新制度の適用可（3,000kl以下）",I5="⇒新制度の適用可"),VLOOKUP(E4*1000000,データ!B30:C33,2),0)</f>
        <v>100</v>
      </c>
    </row>
    <row r="5" spans="2:12" ht="24" customHeight="1">
      <c r="B5" s="28" t="str">
        <f>IF(C4&gt;10000,"⇒旧制度の適用不可（10,000kl超）","⇒旧制度の適用可（10,000kl以下）")</f>
        <v>⇒旧制度の適用可（10,000kl以下）</v>
      </c>
      <c r="E5" s="4" t="s">
        <v>72</v>
      </c>
      <c r="F5" t="str">
        <f>VLOOKUP(E4*1000000,データ!B30:D33,3)</f>
        <v>400kl以下</v>
      </c>
      <c r="I5" s="28" t="str">
        <f>IF(OR(AND(I4&gt;300,J4&gt;300000000),AND(H4=L5,I4&gt;300)),"⇒新制度の適用不可","⇒新制度の適用可")</f>
        <v>⇒新制度の適用可</v>
      </c>
      <c r="L5" t="s">
        <v>81</v>
      </c>
    </row>
    <row r="6" spans="2:12" ht="24" customHeight="1">
      <c r="B6" s="28" t="str">
        <f>IF(B4&gt;3000,"⇒新制度の適用不可（3,000kl超）","⇒新制度の適用可（3,000kl以下）")</f>
        <v>⇒新制度の適用可（3,000kl以下）</v>
      </c>
      <c r="L6" t="s">
        <v>82</v>
      </c>
    </row>
    <row r="8" spans="2:12" ht="24" customHeight="1">
      <c r="B8" s="2" t="str">
        <f>入力表!F3&amp;入力表!G3</f>
        <v>令和６年度（令和６年４月１日～令和７年３月31日）</v>
      </c>
    </row>
    <row r="9" spans="2:12" ht="24" customHeight="1" thickBot="1">
      <c r="B9" s="141" t="s">
        <v>70</v>
      </c>
      <c r="C9" s="141"/>
      <c r="E9" s="141" t="s">
        <v>71</v>
      </c>
      <c r="F9" s="141"/>
      <c r="G9" s="141"/>
      <c r="H9" s="141"/>
      <c r="I9" s="141"/>
      <c r="J9" s="141"/>
    </row>
    <row r="10" spans="2:12" ht="24" customHeight="1">
      <c r="B10" s="15"/>
      <c r="C10" s="14" t="s">
        <v>62</v>
      </c>
      <c r="E10" s="151" t="s">
        <v>65</v>
      </c>
      <c r="F10" s="148" t="s">
        <v>64</v>
      </c>
      <c r="G10" s="149"/>
      <c r="H10" s="149"/>
      <c r="I10" s="150"/>
      <c r="J10" s="142" t="s">
        <v>62</v>
      </c>
    </row>
    <row r="11" spans="2:12" ht="24" customHeight="1">
      <c r="B11" s="16" t="s">
        <v>11</v>
      </c>
      <c r="C11" s="23" t="str">
        <f>入力表!M12</f>
        <v/>
      </c>
      <c r="E11" s="152"/>
      <c r="F11" s="154" t="s">
        <v>97</v>
      </c>
      <c r="G11" s="156" t="s">
        <v>98</v>
      </c>
      <c r="H11" s="156" t="s">
        <v>99</v>
      </c>
      <c r="I11" s="158" t="s">
        <v>100</v>
      </c>
      <c r="J11" s="143"/>
    </row>
    <row r="12" spans="2:12" ht="24" customHeight="1">
      <c r="B12" s="17" t="s">
        <v>12</v>
      </c>
      <c r="C12" s="24" t="str">
        <f>入力表!M13</f>
        <v/>
      </c>
      <c r="E12" s="153"/>
      <c r="F12" s="155"/>
      <c r="G12" s="157"/>
      <c r="H12" s="157"/>
      <c r="I12" s="159"/>
      <c r="J12" s="144"/>
    </row>
    <row r="13" spans="2:12" ht="24" customHeight="1">
      <c r="B13" s="17" t="s">
        <v>13</v>
      </c>
      <c r="C13" s="24" t="str">
        <f>入力表!M14</f>
        <v/>
      </c>
      <c r="E13" s="125" t="s">
        <v>61</v>
      </c>
      <c r="F13" s="127">
        <v>0.2</v>
      </c>
      <c r="G13" s="129">
        <v>0.15</v>
      </c>
      <c r="H13" s="129">
        <v>0.1</v>
      </c>
      <c r="I13" s="131">
        <v>0.05</v>
      </c>
      <c r="J13" s="145">
        <f>IF((入力表!K32+入力表!O32)&gt;50000000,10000000*K4/100,(入力表!K32+入力表!O32)*F13*K4/100)</f>
        <v>0</v>
      </c>
    </row>
    <row r="14" spans="2:12" ht="24" customHeight="1">
      <c r="B14" s="17" t="s">
        <v>14</v>
      </c>
      <c r="C14" s="24" t="str">
        <f>入力表!M15</f>
        <v/>
      </c>
      <c r="E14" s="126"/>
      <c r="F14" s="128"/>
      <c r="G14" s="130"/>
      <c r="H14" s="130"/>
      <c r="I14" s="132"/>
      <c r="J14" s="123"/>
    </row>
    <row r="15" spans="2:12" ht="24" customHeight="1">
      <c r="B15" s="17" t="s">
        <v>15</v>
      </c>
      <c r="C15" s="24" t="str">
        <f>入力表!M17</f>
        <v/>
      </c>
      <c r="E15" s="133" t="s">
        <v>68</v>
      </c>
      <c r="F15" s="134">
        <v>0.1</v>
      </c>
      <c r="G15" s="137">
        <v>7.4999999999999997E-2</v>
      </c>
      <c r="H15" s="137">
        <v>0.05</v>
      </c>
      <c r="I15" s="139">
        <v>2.5000000000000001E-2</v>
      </c>
      <c r="J15" s="123" t="str">
        <f>IF((入力表!K32+入力表!O32)&gt;50000000,IF((入力表!K32+入力表!O32)&gt;80000000,3000000*K4/100,(入力表!K32+入力表!O32-50000000)*F15*K4/100),"")</f>
        <v/>
      </c>
    </row>
    <row r="16" spans="2:12" ht="24" customHeight="1">
      <c r="B16" s="17" t="s">
        <v>28</v>
      </c>
      <c r="C16" s="24" t="str">
        <f>入力表!M18</f>
        <v/>
      </c>
      <c r="E16" s="126"/>
      <c r="F16" s="128"/>
      <c r="G16" s="130"/>
      <c r="H16" s="130"/>
      <c r="I16" s="132"/>
      <c r="J16" s="123"/>
    </row>
    <row r="17" spans="2:10" ht="24" customHeight="1">
      <c r="B17" s="17" t="s">
        <v>29</v>
      </c>
      <c r="C17" s="24" t="str">
        <f>入力表!M19</f>
        <v/>
      </c>
      <c r="E17" s="133" t="s">
        <v>69</v>
      </c>
      <c r="F17" s="134">
        <v>0.05</v>
      </c>
      <c r="G17" s="137">
        <v>3.7499999999999999E-2</v>
      </c>
      <c r="H17" s="137">
        <v>2.5000000000000001E-2</v>
      </c>
      <c r="I17" s="139">
        <v>1.2500000000000001E-2</v>
      </c>
      <c r="J17" s="123" t="str">
        <f>IF((入力表!K32+入力表!O32)&gt;80000000,IF((入力表!K32+入力表!O32)&gt;100000000,1000000*K4/100,(入力表!K32+入力表!O32-80000000)*F17*K4/100),"")</f>
        <v/>
      </c>
    </row>
    <row r="18" spans="2:10" ht="24" customHeight="1" thickBot="1">
      <c r="B18" s="18" t="s">
        <v>25</v>
      </c>
      <c r="C18" s="25" t="str">
        <f>入力表!M24</f>
        <v/>
      </c>
      <c r="E18" s="135"/>
      <c r="F18" s="136"/>
      <c r="G18" s="138"/>
      <c r="H18" s="138"/>
      <c r="I18" s="140"/>
      <c r="J18" s="124"/>
    </row>
    <row r="19" spans="2:10" ht="24" customHeight="1" thickTop="1" thickBot="1">
      <c r="B19" s="19" t="s">
        <v>67</v>
      </c>
      <c r="C19" s="26">
        <f>SUM(C11:C18)</f>
        <v>0</v>
      </c>
      <c r="E19" s="19" t="s">
        <v>67</v>
      </c>
      <c r="F19" s="20"/>
      <c r="G19" s="21"/>
      <c r="H19" s="21"/>
      <c r="I19" s="22"/>
      <c r="J19" s="27">
        <f>SUM(J13:J17)</f>
        <v>0</v>
      </c>
    </row>
    <row r="20" spans="2:10" ht="24" customHeight="1" thickBot="1"/>
    <row r="21" spans="2:10" ht="24" customHeight="1">
      <c r="B21" s="9"/>
      <c r="C21" s="10" t="s">
        <v>23</v>
      </c>
      <c r="E21" s="35" t="s">
        <v>63</v>
      </c>
    </row>
    <row r="22" spans="2:10" ht="24" customHeight="1">
      <c r="B22" s="11" t="s">
        <v>73</v>
      </c>
      <c r="C22" s="33">
        <f>入力表!K31+入力表!O31</f>
        <v>0</v>
      </c>
      <c r="D22" s="32"/>
      <c r="E22" s="34">
        <f>C22</f>
        <v>0</v>
      </c>
    </row>
    <row r="23" spans="2:10" ht="24" customHeight="1" thickBot="1">
      <c r="B23" s="12" t="s">
        <v>62</v>
      </c>
      <c r="C23" s="37">
        <f>C19</f>
        <v>0</v>
      </c>
      <c r="D23" s="31" t="str">
        <f>IF(C23=E23,"＝",IF(C23&gt;E23,"＞","＜"))</f>
        <v>＝</v>
      </c>
      <c r="E23" s="39">
        <f>J19</f>
        <v>0</v>
      </c>
    </row>
    <row r="24" spans="2:10" ht="24" customHeight="1" thickTop="1" thickBot="1">
      <c r="B24" s="13" t="s">
        <v>74</v>
      </c>
      <c r="C24" s="36">
        <f>C22-C23</f>
        <v>0</v>
      </c>
      <c r="D24" s="32"/>
      <c r="E24" s="38">
        <f>E22-E23</f>
        <v>0</v>
      </c>
    </row>
  </sheetData>
  <sheetProtection sheet="1" objects="1" scenarios="1"/>
  <mergeCells count="29">
    <mergeCell ref="E3:F3"/>
    <mergeCell ref="E4:F4"/>
    <mergeCell ref="F10:I10"/>
    <mergeCell ref="E10:E12"/>
    <mergeCell ref="F11:F12"/>
    <mergeCell ref="G11:G12"/>
    <mergeCell ref="H11:H12"/>
    <mergeCell ref="I11:I12"/>
    <mergeCell ref="B9:C9"/>
    <mergeCell ref="E9:J9"/>
    <mergeCell ref="G15:G16"/>
    <mergeCell ref="H15:H16"/>
    <mergeCell ref="I15:I16"/>
    <mergeCell ref="J10:J12"/>
    <mergeCell ref="J13:J14"/>
    <mergeCell ref="J15:J16"/>
    <mergeCell ref="J17:J18"/>
    <mergeCell ref="E13:E14"/>
    <mergeCell ref="F13:F14"/>
    <mergeCell ref="G13:G14"/>
    <mergeCell ref="H13:H14"/>
    <mergeCell ref="I13:I14"/>
    <mergeCell ref="E15:E16"/>
    <mergeCell ref="F15:F16"/>
    <mergeCell ref="E17:E18"/>
    <mergeCell ref="F17:F18"/>
    <mergeCell ref="G17:G18"/>
    <mergeCell ref="H17:H18"/>
    <mergeCell ref="I17:I18"/>
  </mergeCells>
  <phoneticPr fontId="3"/>
  <conditionalFormatting sqref="F11:F18">
    <cfRule type="expression" dxfId="4" priority="5">
      <formula>$K$4=100</formula>
    </cfRule>
  </conditionalFormatting>
  <conditionalFormatting sqref="G11:G18">
    <cfRule type="expression" dxfId="3" priority="4">
      <formula>$K$4=75</formula>
    </cfRule>
  </conditionalFormatting>
  <conditionalFormatting sqref="H11:H18">
    <cfRule type="expression" dxfId="2" priority="3">
      <formula>$K$4=50</formula>
    </cfRule>
  </conditionalFormatting>
  <conditionalFormatting sqref="I11:I18">
    <cfRule type="expression" dxfId="1" priority="2">
      <formula>$K$4=25</formula>
    </cfRule>
  </conditionalFormatting>
  <conditionalFormatting sqref="H4:J4">
    <cfRule type="expression" dxfId="0" priority="1">
      <formula>H4=""</formula>
    </cfRule>
  </conditionalFormatting>
  <dataValidations count="1">
    <dataValidation type="list" allowBlank="1" showInputMessage="1" showErrorMessage="1" sqref="H4" xr:uid="{EA852BCE-A904-4CF7-BF66-C0DAE2E04F1A}">
      <formula1>$L$5:$L$6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7F9E9-C198-4964-9030-FC534A653C4C}">
  <dimension ref="B2:L33"/>
  <sheetViews>
    <sheetView workbookViewId="0">
      <selection activeCell="B2" sqref="B2"/>
    </sheetView>
  </sheetViews>
  <sheetFormatPr defaultRowHeight="13"/>
  <cols>
    <col min="2" max="2" width="12.54296875" bestFit="1" customWidth="1"/>
  </cols>
  <sheetData>
    <row r="2" spans="2:12">
      <c r="B2" s="2" t="s">
        <v>35</v>
      </c>
    </row>
    <row r="3" spans="2:12">
      <c r="C3" t="s">
        <v>101</v>
      </c>
      <c r="H3" t="s">
        <v>102</v>
      </c>
    </row>
    <row r="4" spans="2:12">
      <c r="C4" t="s">
        <v>30</v>
      </c>
      <c r="D4" t="s">
        <v>31</v>
      </c>
      <c r="E4" t="s">
        <v>32</v>
      </c>
      <c r="F4" t="s">
        <v>33</v>
      </c>
      <c r="G4" t="s">
        <v>34</v>
      </c>
      <c r="H4" t="s">
        <v>30</v>
      </c>
      <c r="I4" t="s">
        <v>31</v>
      </c>
      <c r="J4" t="s">
        <v>32</v>
      </c>
      <c r="K4" t="s">
        <v>33</v>
      </c>
      <c r="L4" t="s">
        <v>34</v>
      </c>
    </row>
    <row r="5" spans="2:12">
      <c r="B5" t="s">
        <v>11</v>
      </c>
      <c r="C5" s="3">
        <v>0.2</v>
      </c>
      <c r="D5" s="3">
        <v>0.2</v>
      </c>
      <c r="E5" s="3">
        <v>0.2</v>
      </c>
      <c r="F5" s="3">
        <v>0.18</v>
      </c>
      <c r="G5" s="3">
        <v>0.16</v>
      </c>
      <c r="H5" s="3">
        <v>0.1</v>
      </c>
      <c r="I5" s="3">
        <v>0.1</v>
      </c>
      <c r="J5" s="3">
        <v>0.1</v>
      </c>
      <c r="K5" s="3">
        <v>0.09</v>
      </c>
      <c r="L5" s="3">
        <v>0.08</v>
      </c>
    </row>
    <row r="6" spans="2:12">
      <c r="B6" t="s">
        <v>13</v>
      </c>
      <c r="C6" s="3">
        <v>0.2</v>
      </c>
      <c r="D6" s="3">
        <v>0.2</v>
      </c>
      <c r="E6" s="3">
        <v>0.2</v>
      </c>
      <c r="F6" s="3">
        <v>0.18</v>
      </c>
      <c r="G6" s="3">
        <v>0.16</v>
      </c>
      <c r="H6" s="3">
        <v>0.1</v>
      </c>
      <c r="I6" s="3">
        <v>0.1</v>
      </c>
      <c r="J6" s="3">
        <v>0.1</v>
      </c>
      <c r="K6" s="3">
        <v>0.09</v>
      </c>
      <c r="L6" s="3">
        <v>0.08</v>
      </c>
    </row>
    <row r="7" spans="2:12">
      <c r="B7" t="s">
        <v>14</v>
      </c>
      <c r="C7" s="3">
        <v>0.2</v>
      </c>
      <c r="D7" s="3">
        <v>0.2</v>
      </c>
      <c r="E7" s="3">
        <v>0.2</v>
      </c>
      <c r="F7" s="3">
        <v>0.18</v>
      </c>
      <c r="G7" s="3">
        <v>0.16</v>
      </c>
      <c r="H7" s="3">
        <v>0.1</v>
      </c>
      <c r="I7" s="3">
        <v>0.1</v>
      </c>
      <c r="J7" s="3">
        <v>0.1</v>
      </c>
      <c r="K7" s="3">
        <v>0.09</v>
      </c>
      <c r="L7" s="3">
        <v>0.08</v>
      </c>
    </row>
    <row r="8" spans="2:12">
      <c r="B8" t="s">
        <v>28</v>
      </c>
      <c r="C8" s="3">
        <v>0.2</v>
      </c>
      <c r="D8" s="3">
        <v>0.2</v>
      </c>
      <c r="E8" s="3">
        <v>0.2</v>
      </c>
      <c r="F8" s="3">
        <v>0.18</v>
      </c>
      <c r="G8" s="3">
        <v>0.16</v>
      </c>
      <c r="H8" s="3">
        <v>0.1</v>
      </c>
      <c r="I8" s="3">
        <v>0.1</v>
      </c>
      <c r="J8" s="3">
        <v>0.1</v>
      </c>
      <c r="K8" s="3">
        <v>0.09</v>
      </c>
      <c r="L8" s="3">
        <v>0.08</v>
      </c>
    </row>
    <row r="9" spans="2:12">
      <c r="B9" t="s">
        <v>29</v>
      </c>
      <c r="C9" s="3">
        <f>26/90</f>
        <v>0.28888888888888886</v>
      </c>
      <c r="D9" s="3">
        <f t="shared" ref="D9:E9" si="0">26/90</f>
        <v>0.28888888888888886</v>
      </c>
      <c r="E9" s="3">
        <f t="shared" si="0"/>
        <v>0.28888888888888886</v>
      </c>
      <c r="F9" s="3">
        <f>23.4/90</f>
        <v>0.26</v>
      </c>
      <c r="G9" s="3">
        <f>20.8/90</f>
        <v>0.23111111111111113</v>
      </c>
      <c r="H9" s="3">
        <v>0.2</v>
      </c>
      <c r="I9" s="3">
        <v>0.2</v>
      </c>
      <c r="J9" s="3">
        <v>0.2</v>
      </c>
      <c r="K9" s="3">
        <v>0.18</v>
      </c>
      <c r="L9" s="3">
        <v>0.16</v>
      </c>
    </row>
    <row r="10" spans="2:12">
      <c r="B10" t="s">
        <v>12</v>
      </c>
      <c r="C10" s="3">
        <v>0.1</v>
      </c>
      <c r="D10" s="3">
        <v>0.1</v>
      </c>
      <c r="E10" s="3">
        <v>0.1</v>
      </c>
      <c r="F10" s="3">
        <v>0.09</v>
      </c>
      <c r="G10" s="3">
        <v>0.08</v>
      </c>
      <c r="H10" s="3">
        <v>0.05</v>
      </c>
      <c r="I10" s="3">
        <v>0.05</v>
      </c>
      <c r="J10" s="3">
        <v>0.05</v>
      </c>
      <c r="K10" s="3">
        <v>4.4999999999999998E-2</v>
      </c>
      <c r="L10" s="3">
        <v>0.04</v>
      </c>
    </row>
    <row r="11" spans="2:12">
      <c r="B11" t="s">
        <v>25</v>
      </c>
      <c r="C11" s="3">
        <v>0.1</v>
      </c>
      <c r="D11" s="3">
        <v>0.1</v>
      </c>
      <c r="E11" s="3">
        <v>0.1</v>
      </c>
      <c r="F11" s="3">
        <v>0.09</v>
      </c>
      <c r="G11" s="3">
        <v>0.08</v>
      </c>
      <c r="H11" s="3">
        <v>0.05</v>
      </c>
      <c r="I11" s="3">
        <v>0.05</v>
      </c>
      <c r="J11" s="3">
        <v>0.05</v>
      </c>
      <c r="K11" s="3">
        <v>4.4999999999999998E-2</v>
      </c>
      <c r="L11" s="3">
        <v>0.04</v>
      </c>
    </row>
    <row r="12" spans="2:12">
      <c r="B12" t="s">
        <v>15</v>
      </c>
      <c r="C12" s="3">
        <v>0.15</v>
      </c>
      <c r="D12" s="3">
        <v>0.15</v>
      </c>
      <c r="E12" s="3">
        <v>0.15</v>
      </c>
      <c r="F12" s="3">
        <v>0.13500000000000001</v>
      </c>
      <c r="G12" s="3">
        <v>0.12</v>
      </c>
      <c r="H12" s="3">
        <v>7.4999999999999997E-2</v>
      </c>
      <c r="I12" s="3">
        <v>7.4999999999999997E-2</v>
      </c>
      <c r="J12" s="3">
        <v>7.4999999999999997E-2</v>
      </c>
      <c r="K12" s="3">
        <v>6.7500000000000004E-2</v>
      </c>
      <c r="L12" s="3">
        <v>0.06</v>
      </c>
    </row>
    <row r="14" spans="2:12">
      <c r="B14" s="2" t="s">
        <v>36</v>
      </c>
    </row>
    <row r="15" spans="2:12">
      <c r="C15" t="s">
        <v>30</v>
      </c>
      <c r="D15" t="s">
        <v>31</v>
      </c>
      <c r="E15" t="s">
        <v>32</v>
      </c>
      <c r="F15" t="s">
        <v>33</v>
      </c>
      <c r="G15" t="s">
        <v>34</v>
      </c>
    </row>
    <row r="16" spans="2:12">
      <c r="B16" t="s">
        <v>37</v>
      </c>
      <c r="C16" s="3">
        <v>6.25E-2</v>
      </c>
      <c r="D16" s="3">
        <v>6.25E-2</v>
      </c>
      <c r="E16" s="3">
        <v>6.25E-2</v>
      </c>
      <c r="F16" s="3">
        <v>5.6250000000000001E-2</v>
      </c>
      <c r="G16" s="3">
        <v>0.05</v>
      </c>
    </row>
    <row r="17" spans="2:7">
      <c r="C17" s="1"/>
      <c r="D17" s="1"/>
      <c r="E17" s="1"/>
      <c r="F17" s="1"/>
      <c r="G17" s="1"/>
    </row>
    <row r="18" spans="2:7">
      <c r="C18" s="1"/>
      <c r="D18" s="1"/>
      <c r="E18" s="1"/>
      <c r="F18" s="1"/>
      <c r="G18" s="1"/>
    </row>
    <row r="19" spans="2:7">
      <c r="B19" t="s">
        <v>20</v>
      </c>
      <c r="C19" s="1" t="s">
        <v>18</v>
      </c>
      <c r="D19" s="1" t="s">
        <v>45</v>
      </c>
      <c r="E19" s="1" t="s">
        <v>46</v>
      </c>
      <c r="F19" s="1" t="s">
        <v>56</v>
      </c>
      <c r="G19" s="1"/>
    </row>
    <row r="20" spans="2:7">
      <c r="B20" s="5" t="s">
        <v>39</v>
      </c>
      <c r="C20" s="5" t="s">
        <v>47</v>
      </c>
      <c r="D20" s="6" t="s">
        <v>50</v>
      </c>
      <c r="E20" s="6" t="s">
        <v>55</v>
      </c>
      <c r="F20" s="8">
        <v>2</v>
      </c>
      <c r="G20" s="1"/>
    </row>
    <row r="21" spans="2:7">
      <c r="B21" s="5" t="s">
        <v>40</v>
      </c>
      <c r="C21" s="5" t="s">
        <v>39</v>
      </c>
      <c r="D21" s="6" t="s">
        <v>51</v>
      </c>
      <c r="E21" s="6" t="s">
        <v>50</v>
      </c>
      <c r="F21" s="8">
        <v>3</v>
      </c>
      <c r="G21" s="1"/>
    </row>
    <row r="22" spans="2:7">
      <c r="B22" s="5" t="s">
        <v>41</v>
      </c>
      <c r="C22" s="5" t="s">
        <v>40</v>
      </c>
      <c r="D22" s="6" t="s">
        <v>52</v>
      </c>
      <c r="E22" s="6" t="s">
        <v>51</v>
      </c>
      <c r="F22" s="8">
        <v>4</v>
      </c>
      <c r="G22" s="1"/>
    </row>
    <row r="23" spans="2:7">
      <c r="B23" s="5" t="s">
        <v>42</v>
      </c>
      <c r="C23" s="5" t="s">
        <v>41</v>
      </c>
      <c r="D23" s="6" t="s">
        <v>53</v>
      </c>
      <c r="E23" s="6" t="s">
        <v>52</v>
      </c>
      <c r="F23" s="8">
        <v>5</v>
      </c>
      <c r="G23" s="1"/>
    </row>
    <row r="24" spans="2:7">
      <c r="B24" s="5" t="s">
        <v>43</v>
      </c>
      <c r="C24" s="5" t="s">
        <v>42</v>
      </c>
      <c r="D24" s="6" t="s">
        <v>54</v>
      </c>
      <c r="E24" s="6" t="s">
        <v>53</v>
      </c>
      <c r="F24" s="8">
        <v>6</v>
      </c>
    </row>
    <row r="26" spans="2:7">
      <c r="B26" s="7" t="s">
        <v>87</v>
      </c>
    </row>
    <row r="27" spans="2:7">
      <c r="B27" s="5" t="s">
        <v>48</v>
      </c>
      <c r="C27">
        <v>1</v>
      </c>
    </row>
    <row r="28" spans="2:7">
      <c r="B28" s="5" t="s">
        <v>49</v>
      </c>
      <c r="C28">
        <v>2</v>
      </c>
    </row>
    <row r="30" spans="2:7">
      <c r="B30" s="29">
        <v>0</v>
      </c>
      <c r="C30">
        <v>100</v>
      </c>
      <c r="D30" s="30" t="s">
        <v>97</v>
      </c>
      <c r="E30" s="30"/>
    </row>
    <row r="31" spans="2:7">
      <c r="B31" s="29">
        <v>400000001</v>
      </c>
      <c r="C31">
        <v>75</v>
      </c>
      <c r="D31" s="30" t="s">
        <v>103</v>
      </c>
      <c r="E31" s="30"/>
    </row>
    <row r="32" spans="2:7">
      <c r="B32" s="29">
        <v>1000000001</v>
      </c>
      <c r="C32">
        <v>50</v>
      </c>
      <c r="D32" s="30" t="s">
        <v>104</v>
      </c>
      <c r="E32" s="30"/>
    </row>
    <row r="33" spans="2:5">
      <c r="B33" s="29">
        <v>1300000001</v>
      </c>
      <c r="C33">
        <v>25</v>
      </c>
      <c r="D33" s="30" t="s">
        <v>100</v>
      </c>
      <c r="E33" s="30"/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入力表</vt:lpstr>
      <vt:lpstr>対比</vt:lpstr>
      <vt:lpstr>データ</vt:lpstr>
      <vt:lpstr>対比!Print_Area</vt:lpstr>
      <vt:lpstr>入力表!Print_Area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しみず（3736）</dc:creator>
  <cp:lastModifiedBy>監理係</cp:lastModifiedBy>
  <cp:lastPrinted>2023-10-26T09:44:48Z</cp:lastPrinted>
  <dcterms:created xsi:type="dcterms:W3CDTF">2023-08-03T04:03:07Z</dcterms:created>
  <dcterms:modified xsi:type="dcterms:W3CDTF">2023-10-27T06:52:41Z</dcterms:modified>
</cp:coreProperties>
</file>