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435"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<sst xmlns="http://schemas.openxmlformats.org/spreadsheetml/2006/main" count="381" uniqueCount="173">
  <si>
    <t>区　　　分</t>
  </si>
  <si>
    <t>件　　　数</t>
  </si>
  <si>
    <t>税　　　額</t>
  </si>
  <si>
    <t>件</t>
  </si>
  <si>
    <t>千円</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</si>
  <si>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</si>
  <si>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</si>
  <si>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</si>
  <si>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</si>
  <si>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</si>
  <si>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</si>
  <si>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</si>
  <si>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個　人　事　業　者</t>
  </si>
  <si>
    <t>一般申告及び処理</t>
  </si>
  <si>
    <t>法　　　　　　　人</t>
  </si>
  <si>
    <t>合　　　　　　　計</t>
  </si>
  <si>
    <t>件　　数</t>
  </si>
  <si>
    <t>税　　額</t>
  </si>
  <si>
    <t>(3)　課税事業者等届出件数</t>
  </si>
  <si>
    <t>千円</t>
  </si>
  <si>
    <t>件</t>
  </si>
  <si>
    <t>(2)　課税状況の累年比較</t>
  </si>
  <si>
    <t>合計</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</si>
  <si>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</si>
  <si>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</si>
  <si>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</si>
  <si>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</si>
  <si>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</si>
  <si>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</si>
  <si>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</si>
  <si>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</si>
  <si>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</si>
  <si>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</si>
  <si>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</si>
  <si>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</si>
  <si>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</si>
  <si>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</si>
  <si>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徳島</t>
  </si>
  <si>
    <t>徳島</t>
  </si>
  <si>
    <t>鳴門</t>
  </si>
  <si>
    <t>鳴門</t>
  </si>
  <si>
    <t>阿南</t>
  </si>
  <si>
    <t>阿南</t>
  </si>
  <si>
    <t>川島</t>
  </si>
  <si>
    <t>川島</t>
  </si>
  <si>
    <t>脇町</t>
  </si>
  <si>
    <t>脇町</t>
  </si>
  <si>
    <t>池田</t>
  </si>
  <si>
    <t>池田</t>
  </si>
  <si>
    <t>徳島県計</t>
  </si>
  <si>
    <t>徳島県計</t>
  </si>
  <si>
    <t>高松</t>
  </si>
  <si>
    <t>高松</t>
  </si>
  <si>
    <t>丸亀</t>
  </si>
  <si>
    <t>丸亀</t>
  </si>
  <si>
    <t>坂出</t>
  </si>
  <si>
    <t>坂出</t>
  </si>
  <si>
    <t>観音寺</t>
  </si>
  <si>
    <t>観音寺</t>
  </si>
  <si>
    <t>長尾</t>
  </si>
  <si>
    <t>長尾</t>
  </si>
  <si>
    <t>土庄</t>
  </si>
  <si>
    <t>土庄</t>
  </si>
  <si>
    <t>香川県計</t>
  </si>
  <si>
    <t>香川県計</t>
  </si>
  <si>
    <t>松山</t>
  </si>
  <si>
    <t>松山</t>
  </si>
  <si>
    <t>今治</t>
  </si>
  <si>
    <t>今治</t>
  </si>
  <si>
    <t>宇和島</t>
  </si>
  <si>
    <t>宇和島</t>
  </si>
  <si>
    <t>八幡浜</t>
  </si>
  <si>
    <t>八幡浜</t>
  </si>
  <si>
    <t>新居浜</t>
  </si>
  <si>
    <t>新居浜</t>
  </si>
  <si>
    <t>伊予西条</t>
  </si>
  <si>
    <t>伊予西条</t>
  </si>
  <si>
    <t>大洲</t>
  </si>
  <si>
    <t>大洲</t>
  </si>
  <si>
    <t>伊予三島</t>
  </si>
  <si>
    <t>伊予三島</t>
  </si>
  <si>
    <t>愛媛県計</t>
  </si>
  <si>
    <t>愛媛県計</t>
  </si>
  <si>
    <t>高知</t>
  </si>
  <si>
    <t>高知</t>
  </si>
  <si>
    <t>安芸</t>
  </si>
  <si>
    <t>安芸</t>
  </si>
  <si>
    <t>南国</t>
  </si>
  <si>
    <t>南国</t>
  </si>
  <si>
    <t>須崎</t>
  </si>
  <si>
    <t>須崎</t>
  </si>
  <si>
    <t>中村</t>
  </si>
  <si>
    <t>中村</t>
  </si>
  <si>
    <t>伊野</t>
  </si>
  <si>
    <t>伊野</t>
  </si>
  <si>
    <t>高知県計</t>
  </si>
  <si>
    <t>高知県計</t>
  </si>
  <si>
    <t>総　計</t>
  </si>
  <si>
    <t>総　計</t>
  </si>
  <si>
    <t>　ロ　法　　　人</t>
  </si>
  <si>
    <t>税務署名</t>
  </si>
  <si>
    <t>徳島</t>
  </si>
  <si>
    <t>鳴門</t>
  </si>
  <si>
    <t>阿南</t>
  </si>
  <si>
    <t>川島</t>
  </si>
  <si>
    <t>脇町</t>
  </si>
  <si>
    <t>池田</t>
  </si>
  <si>
    <t>徳島県計</t>
  </si>
  <si>
    <t>高松</t>
  </si>
  <si>
    <t>丸亀</t>
  </si>
  <si>
    <t>坂出</t>
  </si>
  <si>
    <t>観音寺</t>
  </si>
  <si>
    <t>　ハ　個人事業者と法人の合計</t>
  </si>
  <si>
    <t>課　税　事　業　者　等　届　出　件　数</t>
  </si>
  <si>
    <t>課税事業者
届出</t>
  </si>
  <si>
    <t>課税事業者
選択届出</t>
  </si>
  <si>
    <t>新設法人に
該当する旨
の届出</t>
  </si>
  <si>
    <t>合　　　計</t>
  </si>
  <si>
    <t>税　　額
(①－②＋③)</t>
  </si>
  <si>
    <t/>
  </si>
  <si>
    <t>香川県計</t>
  </si>
  <si>
    <t>愛媛県計</t>
  </si>
  <si>
    <t>高知県計</t>
  </si>
  <si>
    <t>調査対象等：</t>
  </si>
  <si>
    <t>(1)　課税状況</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</si>
  <si>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</si>
  <si>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</si>
  <si>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</si>
  <si>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</si>
  <si>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</si>
  <si>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</si>
  <si>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</si>
  <si>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</si>
  <si>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</si>
  <si>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</si>
  <si>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</si>
  <si>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</si>
  <si>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</si>
  <si>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</si>
  <si>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</si>
  <si>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</si>
  <si>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</si>
  <si>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</si>
  <si>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</si>
  <si>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</si>
  <si>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</si>
  <si>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</si>
  <si>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</si>
  <si>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</si>
  <si>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</si>
  <si>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</si>
  <si>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</si>
  <si>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総　計</t>
  </si>
  <si>
    <t>　税関分は含まない。</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</si>
  <si>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</si>
  <si>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</si>
  <si>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実件</t>
  </si>
  <si>
    <t>(4)　税務署別課税状況等</t>
  </si>
  <si>
    <t>(4)　税務署別課税状況等（続）</t>
  </si>
  <si>
    <t>平成29年度</t>
  </si>
  <si>
    <t>平成30年度</t>
  </si>
  <si>
    <t>令和元年度</t>
  </si>
  <si>
    <t>７　消　費　税</t>
  </si>
  <si>
    <t>（注）</t>
  </si>
  <si>
    <t>件　　　数</t>
  </si>
  <si>
    <t>個　人　事　業　者</t>
  </si>
  <si>
    <t>法　　　　　人</t>
  </si>
  <si>
    <t>合　　　　　計</t>
  </si>
  <si>
    <t>令和２年度</t>
  </si>
  <si>
    <t xml:space="preserve"> 「現年分」は、令和３年４月１日から令和４年３月31日までに終了した課税期間に係る消費税の申告及び処理（更正、決定等）による課税事績(令和４年６月30日までのもの。国・地方公共団体等及び消費税申告期限延長届出書を提出した法人については令和４年９月30日までのもの。)に基づいて作成した。</t>
  </si>
  <si>
    <t xml:space="preserve"> 「既往年分」は、令和３年３月31日以前に終了した課税期間に係る消費税の申告及び処理（更正、決定等）による課税事績（令和３年７月１日から令和４年６月30日までのもの。国・地方公共団体等及び消費税申告期限延長届出書を提出した法人については令和３年10月１日から令和４年６月30日までのもの。）に基づいて作成した。</t>
  </si>
  <si>
    <t>令和３年度</t>
  </si>
  <si>
    <t>調査対象等：令和３年度末（令和４年３月31日現在）の届出件数を示している。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</si>
</sst>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50">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b/>
      <sz val="9"/>
      <name val="ＭＳ 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style="thin">
        <color indexed="55"/>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bottom style="hair">
        <color indexed="55"/>
      </bottom>
    </border>
    <border>
      <left style="thin"/>
      <right style="medium"/>
      <top style="thin">
        <color indexed="23"/>
      </top>
      <bottom/>
    </border>
    <border>
      <left style="thin"/>
      <right style="medium"/>
      <top style="double"/>
      <bottom style="mediu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color indexed="63"/>
      </top>
      <bottom style="medium"/>
    </border>
    <border>
      <left style="hair"/>
      <right style="thin"/>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color indexed="63"/>
      </top>
      <bottom style="medium"/>
    </border>
    <border>
      <left style="hair"/>
      <right/>
      <top/>
      <bottom style="medium"/>
    </border>
    <border>
      <left style="hair">
        <color theme="1"/>
      </left>
      <right style="hair">
        <color theme="1"/>
      </right>
      <top style="thin"/>
      <bottom>
        <color indexed="63"/>
      </bottom>
    </border>
    <border>
      <left style="hair"/>
      <right style="thin">
        <color theme="1"/>
      </right>
      <top style="thin"/>
      <bottom/>
    </border>
    <border>
      <left style="hair"/>
      <right style="thin">
        <color theme="1"/>
      </right>
      <top/>
      <bottom style="hair">
        <color indexed="55"/>
      </bottom>
    </border>
    <border>
      <left style="hair">
        <color theme="1"/>
      </left>
      <right style="thin">
        <color theme="1"/>
      </right>
      <top style="thin"/>
      <bottom>
        <color indexed="63"/>
      </bottom>
    </border>
    <border>
      <left>
        <color indexed="63"/>
      </left>
      <right>
        <color indexed="63"/>
      </right>
      <top style="thin"/>
      <bottom>
        <color indexed="63"/>
      </bottom>
    </border>
    <border>
      <left style="hair"/>
      <right style="hair">
        <color theme="1"/>
      </right>
      <top style="thin"/>
      <bottom>
        <color indexed="63"/>
      </bottom>
    </border>
    <border>
      <left style="medium"/>
      <right>
        <color indexed="63"/>
      </right>
      <top>
        <color indexed="63"/>
      </top>
      <bottom>
        <color indexed="63"/>
      </bottom>
    </border>
    <border>
      <left style="thin"/>
      <right style="medium"/>
      <top style="thin">
        <color indexed="23"/>
      </top>
      <bottom style="double"/>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top/>
      <bottom style="hair">
        <color indexed="55"/>
      </bottom>
    </border>
    <border>
      <left style="hair"/>
      <right style="hair">
        <color theme="1"/>
      </right>
      <top>
        <color indexed="63"/>
      </top>
      <bottom style="hair">
        <color indexed="55"/>
      </bottom>
    </border>
    <border>
      <left style="hair">
        <color theme="1"/>
      </left>
      <right style="hair">
        <color theme="1"/>
      </right>
      <top>
        <color indexed="63"/>
      </top>
      <bottom style="hair">
        <color indexed="55"/>
      </bottom>
    </border>
    <border>
      <left style="thin"/>
      <right>
        <color indexed="63"/>
      </right>
      <top/>
      <bottom style="hair">
        <color indexed="55"/>
      </bottom>
    </border>
    <border>
      <left>
        <color indexed="63"/>
      </left>
      <right style="hair"/>
      <top>
        <color indexed="63"/>
      </top>
      <bottom style="hair">
        <color indexed="55"/>
      </bottom>
    </border>
    <border>
      <left style="hair"/>
      <right style="hair"/>
      <top style="hair">
        <color indexed="55"/>
      </top>
      <bottom style="thin">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style="hair"/>
      <top style="double"/>
      <bottom style="medium"/>
    </border>
    <border>
      <left style="hair"/>
      <right style="hair"/>
      <top style="double"/>
      <bottom style="medium"/>
    </border>
    <border>
      <left style="hair"/>
      <right/>
      <top style="double"/>
      <bottom style="medium"/>
    </border>
    <border>
      <left style="hair"/>
      <right style="hair"/>
      <top style="hair">
        <color indexed="55"/>
      </top>
      <bottom style="thin"/>
    </border>
    <border>
      <left style="hair"/>
      <right style="medium"/>
      <top style="thin"/>
      <bottom style="medium"/>
    </border>
    <border>
      <left>
        <color indexed="63"/>
      </left>
      <right style="hair"/>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thin"/>
    </border>
    <border>
      <left>
        <color indexed="63"/>
      </left>
      <right style="thin"/>
      <top>
        <color indexed="63"/>
      </top>
      <bottom style="medium"/>
    </border>
    <border>
      <left style="thin"/>
      <right>
        <color indexed="63"/>
      </right>
      <top style="medium"/>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hair"/>
      <right/>
      <top style="hair"/>
      <bottom style="hair"/>
    </border>
    <border>
      <left/>
      <right/>
      <top/>
      <bottom style="medium"/>
    </border>
    <border>
      <left style="thin"/>
      <right style="medium"/>
      <top style="medium"/>
      <bottom style="hair"/>
    </border>
    <border>
      <left/>
      <right/>
      <top style="medium"/>
      <bottom style="hair"/>
    </border>
    <border>
      <left>
        <color indexed="63"/>
      </left>
      <right style="medium"/>
      <top/>
      <bottom/>
    </border>
    <border>
      <left>
        <color indexed="63"/>
      </left>
      <right style="medium"/>
      <top/>
      <bottom style="thin"/>
    </border>
    <border>
      <left style="thin"/>
      <right>
        <color indexed="63"/>
      </right>
      <top style="hair"/>
      <bottom>
        <color indexed="63"/>
      </bottom>
    </border>
    <border>
      <left style="thin"/>
      <right>
        <color indexed="63"/>
      </right>
      <top/>
      <bottom style="thin"/>
    </border>
    <border>
      <left style="hair"/>
      <right style="hair">
        <color theme="1"/>
      </right>
      <top style="hair"/>
      <bottom/>
    </border>
    <border>
      <left style="hair"/>
      <right style="hair">
        <color theme="1"/>
      </right>
      <top/>
      <bottom style="thin"/>
    </border>
    <border>
      <left style="hair">
        <color theme="1"/>
      </left>
      <right style="hair">
        <color theme="1"/>
      </right>
      <top style="hair"/>
      <bottom style="hair"/>
    </border>
    <border>
      <left style="hair">
        <color theme="1"/>
      </left>
      <right style="hair">
        <color theme="1"/>
      </right>
      <top style="hair"/>
      <bottom style="thin"/>
    </border>
    <border>
      <left style="hair">
        <color theme="1"/>
      </left>
      <right style="thin">
        <color theme="1"/>
      </right>
      <top style="hair"/>
      <bottom style="hair"/>
    </border>
    <border>
      <left style="hair">
        <color theme="1"/>
      </left>
      <right style="thin">
        <color theme="1"/>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 fillId="0" borderId="0" applyNumberFormat="0" applyFill="0" applyBorder="0" applyAlignment="0" applyProtection="0"/>
    <xf numFmtId="0" fontId="47" fillId="32" borderId="0" applyNumberFormat="0" applyBorder="0" applyAlignment="0" applyProtection="0"/>
  </cellStyleXfs>
  <cellXfs count="23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2" fillId="33"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20" xfId="0" applyFont="1" applyBorder="1" applyAlignment="1">
      <alignment horizontal="distributed" vertical="center"/>
    </xf>
    <xf numFmtId="0" fontId="6" fillId="0" borderId="20" xfId="0" applyFont="1" applyBorder="1" applyAlignment="1">
      <alignment horizontal="distributed" vertical="center"/>
    </xf>
    <xf numFmtId="0" fontId="2" fillId="0" borderId="21" xfId="0" applyFont="1" applyBorder="1" applyAlignment="1">
      <alignment horizontal="distributed" vertical="center"/>
    </xf>
    <xf numFmtId="3" fontId="2" fillId="34" borderId="22" xfId="0" applyNumberFormat="1" applyFont="1" applyFill="1" applyBorder="1" applyAlignment="1">
      <alignment horizontal="right" vertical="center"/>
    </xf>
    <xf numFmtId="3" fontId="2" fillId="34" borderId="23"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3" fontId="2" fillId="34" borderId="26"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28" xfId="0" applyFont="1" applyFill="1" applyBorder="1" applyAlignment="1">
      <alignment horizontal="right" vertical="top"/>
    </xf>
    <xf numFmtId="0" fontId="2" fillId="0" borderId="29" xfId="0" applyFont="1" applyBorder="1" applyAlignment="1">
      <alignment horizontal="distributed"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0" fontId="7" fillId="0" borderId="31" xfId="0" applyFont="1" applyFill="1" applyBorder="1" applyAlignment="1">
      <alignment horizontal="center" vertical="center"/>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2" xfId="0" applyNumberFormat="1" applyFont="1" applyFill="1" applyBorder="1" applyAlignment="1">
      <alignment horizontal="right" vertical="center"/>
    </xf>
    <xf numFmtId="0" fontId="2" fillId="0" borderId="31"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3"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7" fillId="34" borderId="36" xfId="0" applyFont="1" applyFill="1" applyBorder="1" applyAlignment="1">
      <alignment horizontal="right"/>
    </xf>
    <xf numFmtId="0" fontId="5" fillId="0" borderId="0" xfId="0" applyFont="1" applyAlignment="1">
      <alignment horizontal="center" vertical="top"/>
    </xf>
    <xf numFmtId="0" fontId="2" fillId="0" borderId="18"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37"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38" xfId="61" applyFont="1" applyBorder="1" applyAlignment="1">
      <alignment horizontal="distributed" vertical="center" indent="1"/>
      <protection/>
    </xf>
    <xf numFmtId="0" fontId="2" fillId="0" borderId="39" xfId="61" applyFont="1" applyBorder="1" applyAlignment="1">
      <alignment horizontal="distributed" vertical="center" indent="1"/>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0" xfId="61" applyFont="1" applyBorder="1" applyAlignment="1">
      <alignment horizontal="centerContinuous" vertical="center" wrapText="1"/>
      <protection/>
    </xf>
    <xf numFmtId="0" fontId="7" fillId="35" borderId="31"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1" xfId="61" applyFont="1" applyFill="1" applyBorder="1" applyAlignment="1">
      <alignment horizontal="right" vertical="top"/>
      <protection/>
    </xf>
    <xf numFmtId="0" fontId="7" fillId="35" borderId="36" xfId="61" applyFont="1" applyFill="1" applyBorder="1" applyAlignment="1">
      <alignment horizontal="distributed" vertical="top"/>
      <protection/>
    </xf>
    <xf numFmtId="0" fontId="8" fillId="0" borderId="0" xfId="61" applyFont="1" applyAlignment="1">
      <alignment horizontal="right" vertical="top"/>
      <protection/>
    </xf>
    <xf numFmtId="0" fontId="2" fillId="36" borderId="42" xfId="61" applyFont="1" applyFill="1" applyBorder="1" applyAlignment="1">
      <alignment horizontal="distributed" vertical="center"/>
      <protection/>
    </xf>
    <xf numFmtId="0" fontId="2" fillId="36" borderId="43" xfId="61" applyFont="1" applyFill="1" applyBorder="1" applyAlignment="1">
      <alignment horizontal="distributed" vertical="center"/>
      <protection/>
    </xf>
    <xf numFmtId="0" fontId="9" fillId="0" borderId="0" xfId="61" applyFont="1">
      <alignment/>
      <protection/>
    </xf>
    <xf numFmtId="0" fontId="2" fillId="36" borderId="44" xfId="61" applyFont="1" applyFill="1" applyBorder="1" applyAlignment="1">
      <alignment horizontal="distributed" vertical="center"/>
      <protection/>
    </xf>
    <xf numFmtId="0" fontId="2" fillId="36" borderId="45" xfId="61" applyFont="1" applyFill="1" applyBorder="1" applyAlignment="1">
      <alignment horizontal="distributed" vertical="center"/>
      <protection/>
    </xf>
    <xf numFmtId="0" fontId="6" fillId="36" borderId="46" xfId="61" applyFont="1" applyFill="1" applyBorder="1" applyAlignment="1">
      <alignment horizontal="distributed" vertical="center"/>
      <protection/>
    </xf>
    <xf numFmtId="0" fontId="6" fillId="36" borderId="47" xfId="61" applyFont="1" applyFill="1" applyBorder="1" applyAlignment="1">
      <alignment horizontal="distributed" vertical="center"/>
      <protection/>
    </xf>
    <xf numFmtId="0" fontId="10" fillId="0" borderId="48" xfId="61" applyFont="1" applyFill="1" applyBorder="1" applyAlignment="1">
      <alignment horizontal="distributed" vertical="center"/>
      <protection/>
    </xf>
    <xf numFmtId="0" fontId="10" fillId="0" borderId="49" xfId="61" applyFont="1" applyFill="1" applyBorder="1" applyAlignment="1">
      <alignment horizontal="center" vertical="center"/>
      <protection/>
    </xf>
    <xf numFmtId="0" fontId="10" fillId="0" borderId="50" xfId="61" applyFont="1" applyFill="1" applyBorder="1" applyAlignment="1">
      <alignment horizontal="distributed" vertical="center"/>
      <protection/>
    </xf>
    <xf numFmtId="0" fontId="10" fillId="0" borderId="51" xfId="61" applyFont="1" applyFill="1" applyBorder="1" applyAlignment="1">
      <alignment horizontal="center" vertical="center"/>
      <protection/>
    </xf>
    <xf numFmtId="0" fontId="11" fillId="0" borderId="0" xfId="61" applyFont="1">
      <alignment/>
      <protection/>
    </xf>
    <xf numFmtId="0" fontId="6" fillId="0" borderId="52" xfId="61" applyFont="1" applyBorder="1" applyAlignment="1">
      <alignment horizontal="center" vertical="center"/>
      <protection/>
    </xf>
    <xf numFmtId="0" fontId="6" fillId="0" borderId="53" xfId="61" applyFont="1" applyBorder="1" applyAlignment="1">
      <alignment horizontal="center" vertical="center"/>
      <protection/>
    </xf>
    <xf numFmtId="0" fontId="2" fillId="0" borderId="0" xfId="61" applyFont="1" applyBorder="1" applyAlignment="1">
      <alignment horizontal="left" vertical="center"/>
      <protection/>
    </xf>
    <xf numFmtId="0" fontId="8" fillId="0" borderId="0" xfId="61" applyFont="1" applyAlignment="1">
      <alignment vertical="top"/>
      <protection/>
    </xf>
    <xf numFmtId="0" fontId="2" fillId="0" borderId="39" xfId="61" applyFont="1" applyBorder="1" applyAlignment="1">
      <alignment horizontal="center" vertical="center" wrapText="1"/>
      <protection/>
    </xf>
    <xf numFmtId="0" fontId="2" fillId="36" borderId="54" xfId="61" applyFont="1" applyFill="1" applyBorder="1" applyAlignment="1">
      <alignment horizontal="distributed" vertical="center"/>
      <protection/>
    </xf>
    <xf numFmtId="0" fontId="10" fillId="0" borderId="55" xfId="61" applyFont="1" applyFill="1" applyBorder="1" applyAlignment="1">
      <alignment horizontal="center" vertical="center"/>
      <protection/>
    </xf>
    <xf numFmtId="0" fontId="6" fillId="0" borderId="56" xfId="61" applyFont="1" applyBorder="1" applyAlignment="1">
      <alignment horizontal="center" vertical="center"/>
      <protection/>
    </xf>
    <xf numFmtId="3" fontId="2" fillId="34" borderId="57" xfId="0" applyNumberFormat="1" applyFont="1" applyFill="1" applyBorder="1" applyAlignment="1">
      <alignment horizontal="right" vertical="center"/>
    </xf>
    <xf numFmtId="3" fontId="2" fillId="34" borderId="58"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6" fillId="34" borderId="58" xfId="0" applyNumberFormat="1" applyFont="1" applyFill="1" applyBorder="1" applyAlignment="1">
      <alignment horizontal="right" vertical="center"/>
    </xf>
    <xf numFmtId="3" fontId="6" fillId="33" borderId="20" xfId="0" applyNumberFormat="1" applyFont="1" applyFill="1" applyBorder="1" applyAlignment="1">
      <alignment horizontal="right" vertical="center"/>
    </xf>
    <xf numFmtId="3" fontId="6" fillId="33" borderId="59"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4" borderId="63" xfId="0" applyNumberFormat="1" applyFont="1" applyFill="1" applyBorder="1" applyAlignment="1">
      <alignment vertical="center"/>
    </xf>
    <xf numFmtId="3" fontId="2" fillId="34"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0" fontId="0" fillId="0" borderId="0" xfId="61" applyFont="1">
      <alignment/>
      <protection/>
    </xf>
    <xf numFmtId="177" fontId="2" fillId="34" borderId="32" xfId="61" applyNumberFormat="1" applyFont="1" applyFill="1" applyBorder="1" applyAlignment="1">
      <alignment horizontal="right" vertical="center"/>
      <protection/>
    </xf>
    <xf numFmtId="177" fontId="2" fillId="33" borderId="29" xfId="61" applyNumberFormat="1" applyFont="1" applyFill="1" applyBorder="1" applyAlignment="1">
      <alignment horizontal="right" vertical="center"/>
      <protection/>
    </xf>
    <xf numFmtId="177" fontId="2" fillId="33" borderId="66" xfId="61" applyNumberFormat="1" applyFont="1" applyFill="1" applyBorder="1" applyAlignment="1">
      <alignment horizontal="right" vertical="center"/>
      <protection/>
    </xf>
    <xf numFmtId="177" fontId="2" fillId="34" borderId="67" xfId="61" applyNumberFormat="1" applyFont="1" applyFill="1" applyBorder="1" applyAlignment="1">
      <alignment horizontal="right" vertical="center"/>
      <protection/>
    </xf>
    <xf numFmtId="177" fontId="2" fillId="33" borderId="20" xfId="61" applyNumberFormat="1" applyFont="1" applyFill="1" applyBorder="1" applyAlignment="1">
      <alignment horizontal="right" vertical="center"/>
      <protection/>
    </xf>
    <xf numFmtId="177" fontId="2" fillId="33" borderId="68" xfId="61" applyNumberFormat="1" applyFont="1" applyFill="1" applyBorder="1" applyAlignment="1">
      <alignment horizontal="right" vertical="center"/>
      <protection/>
    </xf>
    <xf numFmtId="177" fontId="6" fillId="34" borderId="69" xfId="61" applyNumberFormat="1" applyFont="1" applyFill="1" applyBorder="1" applyAlignment="1">
      <alignment horizontal="right" vertical="center"/>
      <protection/>
    </xf>
    <xf numFmtId="177" fontId="6" fillId="33" borderId="70"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10" fillId="0" borderId="72" xfId="61" applyNumberFormat="1" applyFont="1" applyFill="1" applyBorder="1" applyAlignment="1">
      <alignment horizontal="right" vertical="center"/>
      <protection/>
    </xf>
    <xf numFmtId="177" fontId="10" fillId="0" borderId="73" xfId="61" applyNumberFormat="1" applyFont="1" applyFill="1" applyBorder="1" applyAlignment="1">
      <alignment horizontal="right" vertical="center"/>
      <protection/>
    </xf>
    <xf numFmtId="177" fontId="10" fillId="0" borderId="74" xfId="61" applyNumberFormat="1" applyFont="1" applyFill="1" applyBorder="1" applyAlignment="1">
      <alignment horizontal="right" vertical="center"/>
      <protection/>
    </xf>
    <xf numFmtId="177" fontId="2" fillId="0" borderId="75" xfId="61" applyNumberFormat="1" applyFont="1" applyFill="1" applyBorder="1" applyAlignment="1">
      <alignment horizontal="right" vertical="center"/>
      <protection/>
    </xf>
    <xf numFmtId="177" fontId="2" fillId="0" borderId="76" xfId="61" applyNumberFormat="1" applyFont="1" applyFill="1" applyBorder="1" applyAlignment="1">
      <alignment horizontal="right" vertical="center"/>
      <protection/>
    </xf>
    <xf numFmtId="177" fontId="2" fillId="0" borderId="77" xfId="61" applyNumberFormat="1" applyFont="1" applyFill="1" applyBorder="1" applyAlignment="1">
      <alignment horizontal="right" vertical="center"/>
      <protection/>
    </xf>
    <xf numFmtId="177" fontId="6" fillId="34" borderId="78" xfId="61" applyNumberFormat="1" applyFont="1" applyFill="1" applyBorder="1" applyAlignment="1">
      <alignment horizontal="right" vertical="center"/>
      <protection/>
    </xf>
    <xf numFmtId="177" fontId="6" fillId="33" borderId="65" xfId="61" applyNumberFormat="1" applyFont="1" applyFill="1" applyBorder="1" applyAlignment="1">
      <alignment horizontal="right" vertical="center"/>
      <protection/>
    </xf>
    <xf numFmtId="177" fontId="6" fillId="33" borderId="79"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Border="1">
      <alignment/>
      <protection/>
    </xf>
    <xf numFmtId="0" fontId="2" fillId="0" borderId="0" xfId="0" applyFont="1" applyAlignment="1">
      <alignment horizontal="right" vertical="top"/>
    </xf>
    <xf numFmtId="0" fontId="2" fillId="0" borderId="0" xfId="0" applyFont="1" applyAlignment="1" quotePrefix="1">
      <alignment horizontal="right" vertical="top"/>
    </xf>
    <xf numFmtId="0" fontId="7" fillId="34" borderId="80" xfId="0" applyFont="1" applyFill="1" applyBorder="1" applyAlignment="1">
      <alignment horizontal="right"/>
    </xf>
    <xf numFmtId="0" fontId="7" fillId="33" borderId="81" xfId="61" applyFont="1" applyFill="1" applyBorder="1" applyAlignment="1">
      <alignment horizontal="right" vertical="top"/>
      <protection/>
    </xf>
    <xf numFmtId="177" fontId="2" fillId="33" borderId="82" xfId="61" applyNumberFormat="1" applyFont="1" applyFill="1" applyBorder="1" applyAlignment="1">
      <alignment horizontal="right" vertical="center"/>
      <protection/>
    </xf>
    <xf numFmtId="0" fontId="7" fillId="34" borderId="83" xfId="0" applyFont="1" applyFill="1" applyBorder="1" applyAlignment="1">
      <alignment horizontal="right"/>
    </xf>
    <xf numFmtId="0" fontId="7" fillId="34" borderId="84" xfId="0" applyFont="1" applyFill="1" applyBorder="1" applyAlignment="1">
      <alignment horizontal="right"/>
    </xf>
    <xf numFmtId="0" fontId="7" fillId="34" borderId="85" xfId="0" applyFont="1" applyFill="1" applyBorder="1" applyAlignment="1">
      <alignment horizontal="right"/>
    </xf>
    <xf numFmtId="0" fontId="0" fillId="0" borderId="86" xfId="61" applyFont="1" applyBorder="1">
      <alignment/>
      <protection/>
    </xf>
    <xf numFmtId="0" fontId="0" fillId="0" borderId="86" xfId="61" applyFont="1" applyBorder="1">
      <alignment/>
      <protection/>
    </xf>
    <xf numFmtId="0" fontId="8" fillId="0" borderId="86" xfId="61" applyFont="1" applyBorder="1" applyAlignment="1">
      <alignment vertical="top"/>
      <protection/>
    </xf>
    <xf numFmtId="0" fontId="7" fillId="35" borderId="12" xfId="61" applyFont="1" applyFill="1" applyBorder="1" applyAlignment="1">
      <alignment horizontal="distributed" vertical="top"/>
      <protection/>
    </xf>
    <xf numFmtId="0" fontId="10" fillId="0" borderId="87" xfId="61" applyFont="1" applyFill="1" applyBorder="1" applyAlignment="1">
      <alignment horizontal="center" vertical="center"/>
      <protection/>
    </xf>
    <xf numFmtId="3" fontId="2" fillId="34" borderId="88" xfId="0" applyNumberFormat="1" applyFont="1" applyFill="1" applyBorder="1" applyAlignment="1">
      <alignment vertical="center"/>
    </xf>
    <xf numFmtId="3" fontId="2" fillId="34" borderId="89" xfId="0" applyNumberFormat="1" applyFont="1" applyFill="1" applyBorder="1" applyAlignment="1">
      <alignment vertical="center"/>
    </xf>
    <xf numFmtId="3" fontId="2" fillId="34" borderId="90" xfId="0" applyNumberFormat="1" applyFont="1" applyFill="1" applyBorder="1" applyAlignment="1">
      <alignment vertical="center"/>
    </xf>
    <xf numFmtId="3" fontId="2" fillId="34" borderId="53" xfId="0" applyNumberFormat="1" applyFont="1" applyFill="1" applyBorder="1" applyAlignment="1">
      <alignment vertical="center"/>
    </xf>
    <xf numFmtId="0" fontId="2" fillId="0" borderId="91" xfId="0" applyFont="1" applyBorder="1" applyAlignment="1">
      <alignment horizontal="left" vertical="top" wrapText="1"/>
    </xf>
    <xf numFmtId="3" fontId="48" fillId="34" borderId="57" xfId="0" applyNumberFormat="1" applyFont="1" applyFill="1" applyBorder="1" applyAlignment="1">
      <alignment horizontal="right" vertical="center"/>
    </xf>
    <xf numFmtId="3" fontId="49" fillId="34" borderId="58" xfId="0" applyNumberFormat="1" applyFont="1" applyFill="1" applyBorder="1" applyAlignment="1">
      <alignment horizontal="right" vertical="center"/>
    </xf>
    <xf numFmtId="3" fontId="48" fillId="34" borderId="60" xfId="0" applyNumberFormat="1" applyFont="1" applyFill="1" applyBorder="1" applyAlignment="1">
      <alignment horizontal="right" vertical="center"/>
    </xf>
    <xf numFmtId="3" fontId="48" fillId="34" borderId="22" xfId="0" applyNumberFormat="1" applyFont="1" applyFill="1" applyBorder="1" applyAlignment="1">
      <alignment horizontal="right" vertical="center"/>
    </xf>
    <xf numFmtId="3" fontId="48" fillId="34" borderId="26" xfId="0" applyNumberFormat="1" applyFont="1" applyFill="1" applyBorder="1" applyAlignment="1">
      <alignment horizontal="right" vertical="center"/>
    </xf>
    <xf numFmtId="177" fontId="48" fillId="33" borderId="29" xfId="61" applyNumberFormat="1" applyFont="1" applyFill="1" applyBorder="1" applyAlignment="1">
      <alignment horizontal="right" vertical="center"/>
      <protection/>
    </xf>
    <xf numFmtId="177" fontId="48" fillId="33" borderId="20" xfId="61" applyNumberFormat="1" applyFont="1" applyFill="1" applyBorder="1" applyAlignment="1">
      <alignment horizontal="right" vertical="center"/>
      <protection/>
    </xf>
    <xf numFmtId="177" fontId="48" fillId="33" borderId="66" xfId="61" applyNumberFormat="1" applyFont="1" applyFill="1" applyBorder="1" applyAlignment="1">
      <alignment horizontal="right" vertical="center"/>
      <protection/>
    </xf>
    <xf numFmtId="177" fontId="48" fillId="33" borderId="68" xfId="61" applyNumberFormat="1" applyFont="1" applyFill="1" applyBorder="1" applyAlignment="1">
      <alignment horizontal="right" vertical="center"/>
      <protection/>
    </xf>
    <xf numFmtId="177" fontId="48" fillId="34" borderId="67" xfId="61" applyNumberFormat="1" applyFont="1" applyFill="1" applyBorder="1" applyAlignment="1">
      <alignment horizontal="right" vertical="center"/>
      <protection/>
    </xf>
    <xf numFmtId="177" fontId="49" fillId="34" borderId="69" xfId="61" applyNumberFormat="1" applyFont="1" applyFill="1" applyBorder="1" applyAlignment="1">
      <alignment horizontal="right" vertical="center"/>
      <protection/>
    </xf>
    <xf numFmtId="177" fontId="49" fillId="33" borderId="71" xfId="61" applyNumberFormat="1" applyFont="1" applyFill="1" applyBorder="1" applyAlignment="1">
      <alignment horizontal="right" vertical="center"/>
      <protection/>
    </xf>
    <xf numFmtId="177" fontId="49" fillId="34" borderId="78" xfId="61" applyNumberFormat="1" applyFont="1" applyFill="1" applyBorder="1" applyAlignment="1">
      <alignment horizontal="right" vertical="center"/>
      <protection/>
    </xf>
    <xf numFmtId="41" fontId="2" fillId="34" borderId="92" xfId="61" applyNumberFormat="1" applyFont="1" applyFill="1" applyBorder="1" applyAlignment="1">
      <alignment horizontal="right" vertical="center"/>
      <protection/>
    </xf>
    <xf numFmtId="41" fontId="2" fillId="34" borderId="93" xfId="61" applyNumberFormat="1" applyFont="1" applyFill="1" applyBorder="1" applyAlignment="1">
      <alignment horizontal="right" vertical="center"/>
      <protection/>
    </xf>
    <xf numFmtId="41" fontId="2" fillId="34" borderId="94" xfId="61" applyNumberFormat="1" applyFont="1" applyFill="1" applyBorder="1" applyAlignment="1">
      <alignment horizontal="right" vertical="center"/>
      <protection/>
    </xf>
    <xf numFmtId="41" fontId="2" fillId="34" borderId="95" xfId="61" applyNumberFormat="1" applyFont="1" applyFill="1" applyBorder="1" applyAlignment="1">
      <alignment horizontal="right" vertical="center"/>
      <protection/>
    </xf>
    <xf numFmtId="41" fontId="2" fillId="34" borderId="96" xfId="61" applyNumberFormat="1" applyFont="1" applyFill="1" applyBorder="1" applyAlignment="1">
      <alignment horizontal="right" vertical="center"/>
      <protection/>
    </xf>
    <xf numFmtId="41" fontId="2" fillId="34" borderId="66" xfId="61" applyNumberFormat="1" applyFont="1" applyFill="1" applyBorder="1" applyAlignment="1">
      <alignment horizontal="right" vertical="center"/>
      <protection/>
    </xf>
    <xf numFmtId="41" fontId="2" fillId="34" borderId="57" xfId="61" applyNumberFormat="1" applyFont="1" applyFill="1" applyBorder="1" applyAlignment="1">
      <alignment horizontal="right" vertical="center"/>
      <protection/>
    </xf>
    <xf numFmtId="41" fontId="2" fillId="34" borderId="32" xfId="61" applyNumberFormat="1" applyFont="1" applyFill="1" applyBorder="1" applyAlignment="1">
      <alignment horizontal="right" vertical="center"/>
      <protection/>
    </xf>
    <xf numFmtId="41" fontId="6" fillId="34" borderId="69" xfId="61" applyNumberFormat="1" applyFont="1" applyFill="1" applyBorder="1" applyAlignment="1">
      <alignment horizontal="right" vertical="center"/>
      <protection/>
    </xf>
    <xf numFmtId="41" fontId="6" fillId="34" borderId="97" xfId="61" applyNumberFormat="1" applyFont="1" applyFill="1" applyBorder="1" applyAlignment="1">
      <alignment horizontal="right" vertical="center"/>
      <protection/>
    </xf>
    <xf numFmtId="41" fontId="6" fillId="34" borderId="71" xfId="61" applyNumberFormat="1" applyFont="1" applyFill="1" applyBorder="1" applyAlignment="1">
      <alignment horizontal="right" vertical="center"/>
      <protection/>
    </xf>
    <xf numFmtId="41" fontId="2" fillId="0" borderId="98" xfId="61" applyNumberFormat="1" applyFont="1" applyFill="1" applyBorder="1" applyAlignment="1">
      <alignment horizontal="right" vertical="center"/>
      <protection/>
    </xf>
    <xf numFmtId="41" fontId="2" fillId="0" borderId="99" xfId="61" applyNumberFormat="1" applyFont="1" applyFill="1" applyBorder="1" applyAlignment="1">
      <alignment horizontal="right" vertical="center"/>
      <protection/>
    </xf>
    <xf numFmtId="41" fontId="2" fillId="0" borderId="100" xfId="61" applyNumberFormat="1" applyFont="1" applyFill="1" applyBorder="1" applyAlignment="1">
      <alignment horizontal="right" vertical="center"/>
      <protection/>
    </xf>
    <xf numFmtId="41" fontId="2" fillId="34" borderId="101" xfId="61" applyNumberFormat="1" applyFont="1" applyFill="1" applyBorder="1" applyAlignment="1">
      <alignment horizontal="right" vertical="center"/>
      <protection/>
    </xf>
    <xf numFmtId="41" fontId="2" fillId="34" borderId="102" xfId="61" applyNumberFormat="1" applyFont="1" applyFill="1" applyBorder="1" applyAlignment="1">
      <alignment horizontal="right" vertical="center"/>
      <protection/>
    </xf>
    <xf numFmtId="41" fontId="2" fillId="34" borderId="103" xfId="61" applyNumberFormat="1" applyFont="1" applyFill="1" applyBorder="1" applyAlignment="1">
      <alignment horizontal="right" vertical="center"/>
      <protection/>
    </xf>
    <xf numFmtId="41" fontId="6" fillId="34" borderId="104" xfId="61" applyNumberFormat="1" applyFont="1" applyFill="1" applyBorder="1" applyAlignment="1">
      <alignment horizontal="right" vertical="center"/>
      <protection/>
    </xf>
    <xf numFmtId="41" fontId="6" fillId="34" borderId="105" xfId="61" applyNumberFormat="1" applyFont="1" applyFill="1" applyBorder="1" applyAlignment="1">
      <alignment horizontal="right" vertical="center"/>
      <protection/>
    </xf>
    <xf numFmtId="41" fontId="6" fillId="34" borderId="106" xfId="61" applyNumberFormat="1" applyFont="1" applyFill="1" applyBorder="1" applyAlignment="1">
      <alignment horizontal="right" vertical="center"/>
      <protection/>
    </xf>
    <xf numFmtId="0" fontId="2" fillId="0" borderId="21" xfId="0" applyFont="1" applyBorder="1" applyAlignment="1">
      <alignment horizontal="distributed" vertical="center" wrapText="1"/>
    </xf>
    <xf numFmtId="3" fontId="2" fillId="34" borderId="107" xfId="0" applyNumberFormat="1" applyFont="1" applyFill="1" applyBorder="1" applyAlignment="1">
      <alignment horizontal="right" vertical="center"/>
    </xf>
    <xf numFmtId="3" fontId="2" fillId="34" borderId="107" xfId="0" applyNumberFormat="1" applyFont="1" applyFill="1" applyBorder="1" applyAlignment="1">
      <alignment vertical="center"/>
    </xf>
    <xf numFmtId="3" fontId="2" fillId="33" borderId="108" xfId="0" applyNumberFormat="1" applyFont="1" applyFill="1" applyBorder="1" applyAlignment="1">
      <alignment horizontal="right" vertical="center"/>
    </xf>
    <xf numFmtId="0" fontId="2" fillId="0" borderId="109" xfId="0" applyFont="1" applyBorder="1" applyAlignment="1">
      <alignment horizontal="center"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86"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distributed" vertical="center" wrapText="1"/>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118" xfId="0" applyFont="1" applyBorder="1" applyAlignment="1">
      <alignment horizontal="distributed" vertical="center" wrapText="1"/>
    </xf>
    <xf numFmtId="0" fontId="2" fillId="0" borderId="119" xfId="0" applyFont="1" applyBorder="1" applyAlignment="1">
      <alignment horizontal="distributed" vertical="center"/>
    </xf>
    <xf numFmtId="0" fontId="2" fillId="0" borderId="52" xfId="0" applyFont="1" applyBorder="1" applyAlignment="1">
      <alignment horizontal="distributed" vertical="center"/>
    </xf>
    <xf numFmtId="0" fontId="2" fillId="0" borderId="120" xfId="0" applyFont="1" applyBorder="1" applyAlignment="1">
      <alignment horizontal="distributed" vertical="center"/>
    </xf>
    <xf numFmtId="0" fontId="2" fillId="0" borderId="91" xfId="0" applyFont="1" applyBorder="1" applyAlignment="1">
      <alignment horizontal="left" vertical="top" wrapText="1"/>
    </xf>
    <xf numFmtId="0" fontId="2" fillId="0" borderId="0" xfId="0" applyFont="1" applyAlignment="1">
      <alignment horizontal="left" vertical="top" wrapText="1"/>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91" xfId="0" applyFont="1" applyBorder="1" applyAlignment="1">
      <alignment horizontal="center" vertical="center"/>
    </xf>
    <xf numFmtId="0" fontId="2" fillId="0" borderId="123" xfId="0" applyFont="1" applyBorder="1" applyAlignment="1">
      <alignment horizontal="center" vertical="center"/>
    </xf>
    <xf numFmtId="0" fontId="2" fillId="0" borderId="118"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19" xfId="0" applyFont="1" applyBorder="1" applyAlignment="1">
      <alignment horizontal="center" vertical="center"/>
    </xf>
    <xf numFmtId="0" fontId="2" fillId="0" borderId="91" xfId="0" applyFont="1" applyBorder="1" applyAlignment="1">
      <alignment horizontal="left" vertical="center"/>
    </xf>
    <xf numFmtId="0" fontId="2" fillId="0" borderId="0" xfId="0" applyFont="1" applyAlignment="1">
      <alignment horizontal="left" vertical="center"/>
    </xf>
    <xf numFmtId="0" fontId="2" fillId="0" borderId="37" xfId="61" applyFont="1" applyBorder="1" applyAlignment="1">
      <alignment horizontal="distributed" vertical="center" wrapText="1"/>
      <protection/>
    </xf>
    <xf numFmtId="0" fontId="2" fillId="0" borderId="126" xfId="61" applyFont="1" applyBorder="1" applyAlignment="1">
      <alignment horizontal="distributed" vertical="center" wrapText="1"/>
      <protection/>
    </xf>
    <xf numFmtId="0" fontId="2" fillId="0" borderId="127" xfId="61" applyFont="1" applyBorder="1" applyAlignment="1">
      <alignment horizontal="distributed" vertical="center" wrapText="1"/>
      <protection/>
    </xf>
    <xf numFmtId="0" fontId="2" fillId="0" borderId="128" xfId="61" applyFont="1" applyBorder="1" applyAlignment="1">
      <alignment horizontal="center" vertical="center"/>
      <protection/>
    </xf>
    <xf numFmtId="0" fontId="2" fillId="0" borderId="129" xfId="61" applyFont="1" applyBorder="1" applyAlignment="1">
      <alignment horizontal="center" vertical="center"/>
      <protection/>
    </xf>
    <xf numFmtId="0" fontId="2" fillId="0" borderId="130" xfId="61" applyFont="1" applyBorder="1" applyAlignment="1">
      <alignment horizontal="center" vertical="center"/>
      <protection/>
    </xf>
    <xf numFmtId="0" fontId="2" fillId="0" borderId="91" xfId="61" applyFont="1" applyBorder="1" applyAlignment="1">
      <alignment horizontal="left" vertical="center"/>
      <protection/>
    </xf>
    <xf numFmtId="0" fontId="2" fillId="0" borderId="0" xfId="61" applyFont="1" applyAlignment="1">
      <alignment horizontal="left" vertical="center"/>
      <protection/>
    </xf>
    <xf numFmtId="0" fontId="2" fillId="0" borderId="110" xfId="61" applyFont="1" applyBorder="1" applyAlignment="1">
      <alignment horizontal="distributed" vertical="center"/>
      <protection/>
    </xf>
    <xf numFmtId="0" fontId="2" fillId="0" borderId="86" xfId="61" applyFont="1" applyBorder="1" applyAlignment="1">
      <alignment horizontal="distributed" vertical="center"/>
      <protection/>
    </xf>
    <xf numFmtId="0" fontId="2" fillId="0" borderId="131" xfId="61" applyFont="1" applyBorder="1" applyAlignment="1">
      <alignment horizontal="distributed" vertical="center"/>
      <protection/>
    </xf>
    <xf numFmtId="0" fontId="2" fillId="0" borderId="132" xfId="61" applyFont="1" applyBorder="1" applyAlignment="1">
      <alignment horizontal="center" vertical="center"/>
      <protection/>
    </xf>
    <xf numFmtId="0" fontId="2" fillId="0" borderId="133" xfId="61" applyFont="1" applyBorder="1" applyAlignment="1">
      <alignment horizontal="center" vertical="center"/>
      <protection/>
    </xf>
    <xf numFmtId="0" fontId="2" fillId="0" borderId="134" xfId="61" applyFont="1" applyBorder="1" applyAlignment="1">
      <alignment horizontal="center" vertical="center"/>
      <protection/>
    </xf>
    <xf numFmtId="0" fontId="2" fillId="0" borderId="135" xfId="61" applyFont="1" applyBorder="1" applyAlignment="1">
      <alignment horizontal="center" vertical="center"/>
      <protection/>
    </xf>
    <xf numFmtId="0" fontId="2" fillId="0" borderId="133" xfId="61" applyFont="1" applyBorder="1" applyAlignment="1">
      <alignment horizontal="center" vertical="center" wrapText="1"/>
      <protection/>
    </xf>
    <xf numFmtId="0" fontId="2" fillId="0" borderId="136" xfId="61" applyFont="1" applyBorder="1" applyAlignment="1">
      <alignment horizontal="left" vertical="center"/>
      <protection/>
    </xf>
    <xf numFmtId="0" fontId="2" fillId="0" borderId="137" xfId="61" applyFont="1" applyBorder="1" applyAlignment="1">
      <alignment horizontal="center" vertical="center"/>
      <protection/>
    </xf>
    <xf numFmtId="0" fontId="2" fillId="0" borderId="138" xfId="61" applyFont="1" applyBorder="1" applyAlignment="1">
      <alignment horizontal="center" vertical="center"/>
      <protection/>
    </xf>
    <xf numFmtId="0" fontId="2" fillId="0" borderId="139" xfId="61" applyFont="1" applyBorder="1" applyAlignment="1">
      <alignment horizontal="distributed" vertical="center" wrapText="1"/>
      <protection/>
    </xf>
    <xf numFmtId="0" fontId="2" fillId="0" borderId="140" xfId="61" applyFont="1" applyBorder="1" applyAlignment="1">
      <alignment horizontal="distributed" vertical="center" wrapText="1"/>
      <protection/>
    </xf>
    <xf numFmtId="0" fontId="2" fillId="0" borderId="141" xfId="61" applyFont="1" applyBorder="1" applyAlignment="1">
      <alignment horizontal="distributed" vertical="center" wrapText="1"/>
      <protection/>
    </xf>
    <xf numFmtId="0" fontId="2" fillId="0" borderId="142" xfId="61" applyFont="1" applyBorder="1" applyAlignment="1">
      <alignment horizontal="distributed" vertical="center"/>
      <protection/>
    </xf>
    <xf numFmtId="0" fontId="2" fillId="0" borderId="143" xfId="61" applyFont="1" applyBorder="1" applyAlignment="1">
      <alignment horizontal="distributed" vertical="center" wrapText="1"/>
      <protection/>
    </xf>
    <xf numFmtId="0" fontId="2" fillId="0" borderId="144" xfId="61" applyFont="1" applyBorder="1" applyAlignment="1">
      <alignment horizontal="distributed" vertical="center"/>
      <protection/>
    </xf>
    <xf numFmtId="0" fontId="2" fillId="0" borderId="145" xfId="61" applyFont="1" applyBorder="1" applyAlignment="1">
      <alignment horizontal="distributed" vertical="center" wrapText="1"/>
      <protection/>
    </xf>
    <xf numFmtId="0" fontId="2" fillId="0" borderId="146" xfId="61" applyFont="1" applyBorder="1" applyAlignment="1">
      <alignment horizontal="distributed" vertical="center" wrapText="1"/>
      <protection/>
    </xf>
    <xf numFmtId="0" fontId="2" fillId="0" borderId="147" xfId="61" applyFont="1" applyBorder="1" applyAlignment="1">
      <alignment horizontal="center" vertical="center"/>
      <protection/>
    </xf>
    <xf numFmtId="0" fontId="2" fillId="0" borderId="148" xfId="61" applyFont="1" applyBorder="1" applyAlignment="1">
      <alignment horizontal="center" vertical="center"/>
      <protection/>
    </xf>
    <xf numFmtId="0" fontId="2" fillId="0" borderId="132"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7"/>
  <sheetViews>
    <sheetView showGridLines="0" tabSelected="1" workbookViewId="0" topLeftCell="A1">
      <selection activeCell="A1" sqref="A1:H1"/>
    </sheetView>
  </sheetViews>
  <sheetFormatPr defaultColWidth="5.875" defaultRowHeight="13.5"/>
  <cols>
    <col min="1" max="1" width="10.625" style="1" customWidth="1"/>
    <col min="2" max="2" width="16.00390625" style="1" customWidth="1"/>
    <col min="3" max="3" width="9.125" style="1" customWidth="1"/>
    <col min="4" max="4" width="10.625" style="1" customWidth="1"/>
    <col min="5" max="5" width="9.125" style="1" customWidth="1"/>
    <col min="6" max="6" width="11.375" style="1" bestFit="1" customWidth="1"/>
    <col min="7" max="7" width="9.125" style="1" customWidth="1"/>
    <col min="8" max="8" width="11.375" style="1" bestFit="1" customWidth="1"/>
    <col min="9" max="16384" width="5.875" style="1" customWidth="1"/>
  </cols>
  <sheetData>
    <row r="1" spans="1:8" ht="15">
      <c r="A1" s="175" t="s">
        <v>162</v>
      </c>
      <c r="B1" s="175"/>
      <c r="C1" s="175"/>
      <c r="D1" s="175"/>
      <c r="E1" s="175"/>
      <c r="F1" s="175"/>
      <c r="G1" s="175"/>
      <c r="H1" s="175"/>
    </row>
    <row r="2" spans="1:8" ht="15">
      <c r="A2" s="46"/>
      <c r="B2" s="46"/>
      <c r="C2" s="46"/>
      <c r="D2" s="46"/>
      <c r="E2" s="46"/>
      <c r="F2" s="46"/>
      <c r="G2" s="46"/>
      <c r="H2" s="46"/>
    </row>
    <row r="3" spans="1:8" ht="12" thickBot="1">
      <c r="A3" s="176" t="s">
        <v>124</v>
      </c>
      <c r="B3" s="176"/>
      <c r="C3" s="176"/>
      <c r="D3" s="176"/>
      <c r="E3" s="176"/>
      <c r="F3" s="176"/>
      <c r="G3" s="176"/>
      <c r="H3" s="176"/>
    </row>
    <row r="4" spans="1:8" ht="24" customHeight="1">
      <c r="A4" s="177" t="s">
        <v>0</v>
      </c>
      <c r="B4" s="178"/>
      <c r="C4" s="193" t="s">
        <v>165</v>
      </c>
      <c r="D4" s="182"/>
      <c r="E4" s="181" t="s">
        <v>166</v>
      </c>
      <c r="F4" s="182"/>
      <c r="G4" s="181" t="s">
        <v>167</v>
      </c>
      <c r="H4" s="183"/>
    </row>
    <row r="5" spans="1:8" ht="24" customHeight="1">
      <c r="A5" s="179"/>
      <c r="B5" s="180"/>
      <c r="C5" s="174" t="s">
        <v>164</v>
      </c>
      <c r="D5" s="6" t="s">
        <v>2</v>
      </c>
      <c r="E5" s="174" t="s">
        <v>1</v>
      </c>
      <c r="F5" s="6" t="s">
        <v>2</v>
      </c>
      <c r="G5" s="174" t="s">
        <v>1</v>
      </c>
      <c r="H5" s="14" t="s">
        <v>2</v>
      </c>
    </row>
    <row r="6" spans="1:8" ht="12" customHeight="1">
      <c r="A6" s="34"/>
      <c r="B6" s="36"/>
      <c r="C6" s="30" t="s">
        <v>20</v>
      </c>
      <c r="D6" s="29" t="s">
        <v>19</v>
      </c>
      <c r="E6" s="30" t="s">
        <v>20</v>
      </c>
      <c r="F6" s="29" t="s">
        <v>19</v>
      </c>
      <c r="G6" s="30" t="s">
        <v>20</v>
      </c>
      <c r="H6" s="35" t="s">
        <v>19</v>
      </c>
    </row>
    <row r="7" spans="1:8" ht="30" customHeight="1">
      <c r="A7" s="184" t="s">
        <v>125</v>
      </c>
      <c r="B7" s="31" t="s">
        <v>126</v>
      </c>
      <c r="C7" s="137">
        <v>12891</v>
      </c>
      <c r="D7" s="32">
        <v>7517591</v>
      </c>
      <c r="E7" s="84">
        <v>37710</v>
      </c>
      <c r="F7" s="32">
        <v>316090761</v>
      </c>
      <c r="G7" s="84">
        <v>50601</v>
      </c>
      <c r="H7" s="33">
        <v>323608351</v>
      </c>
    </row>
    <row r="8" spans="1:8" ht="30" customHeight="1">
      <c r="A8" s="185"/>
      <c r="B8" s="18" t="s">
        <v>127</v>
      </c>
      <c r="C8" s="85">
        <v>19983</v>
      </c>
      <c r="D8" s="86">
        <v>8274068</v>
      </c>
      <c r="E8" s="85">
        <v>15636</v>
      </c>
      <c r="F8" s="86">
        <v>10960095</v>
      </c>
      <c r="G8" s="85">
        <v>35619</v>
      </c>
      <c r="H8" s="87">
        <v>19234163</v>
      </c>
    </row>
    <row r="9" spans="1:8" s="3" customFormat="1" ht="30" customHeight="1">
      <c r="A9" s="185"/>
      <c r="B9" s="19" t="s">
        <v>128</v>
      </c>
      <c r="C9" s="138">
        <v>32874</v>
      </c>
      <c r="D9" s="89">
        <v>15791659</v>
      </c>
      <c r="E9" s="88">
        <v>53346</v>
      </c>
      <c r="F9" s="89">
        <v>327050856</v>
      </c>
      <c r="G9" s="88">
        <v>86220</v>
      </c>
      <c r="H9" s="90">
        <v>342842515</v>
      </c>
    </row>
    <row r="10" spans="1:8" ht="30" customHeight="1">
      <c r="A10" s="186"/>
      <c r="B10" s="20" t="s">
        <v>129</v>
      </c>
      <c r="C10" s="139">
        <v>1923</v>
      </c>
      <c r="D10" s="92">
        <v>1075819</v>
      </c>
      <c r="E10" s="91">
        <v>3658</v>
      </c>
      <c r="F10" s="92">
        <v>83019873</v>
      </c>
      <c r="G10" s="91">
        <v>5581</v>
      </c>
      <c r="H10" s="93">
        <v>84095692</v>
      </c>
    </row>
    <row r="11" spans="1:8" ht="30" customHeight="1">
      <c r="A11" s="187" t="s">
        <v>130</v>
      </c>
      <c r="B11" s="47" t="s">
        <v>131</v>
      </c>
      <c r="C11" s="94">
        <v>2222</v>
      </c>
      <c r="D11" s="15">
        <v>857100</v>
      </c>
      <c r="E11" s="95">
        <v>2395</v>
      </c>
      <c r="F11" s="15">
        <v>958578</v>
      </c>
      <c r="G11" s="95">
        <v>4617</v>
      </c>
      <c r="H11" s="16">
        <v>1815677</v>
      </c>
    </row>
    <row r="12" spans="1:8" ht="30" customHeight="1">
      <c r="A12" s="188"/>
      <c r="B12" s="170" t="s">
        <v>132</v>
      </c>
      <c r="C12" s="171">
        <v>354</v>
      </c>
      <c r="D12" s="23">
        <v>91426</v>
      </c>
      <c r="E12" s="172">
        <v>329</v>
      </c>
      <c r="F12" s="23">
        <v>585675</v>
      </c>
      <c r="G12" s="172">
        <v>683</v>
      </c>
      <c r="H12" s="24">
        <v>677101</v>
      </c>
    </row>
    <row r="13" spans="1:8" ht="30" customHeight="1" thickBot="1">
      <c r="A13" s="189" t="s">
        <v>5</v>
      </c>
      <c r="B13" s="190"/>
      <c r="C13" s="96">
        <v>2037</v>
      </c>
      <c r="D13" s="97">
        <v>136409</v>
      </c>
      <c r="E13" s="96">
        <v>2144</v>
      </c>
      <c r="F13" s="97">
        <v>201533</v>
      </c>
      <c r="G13" s="96">
        <v>4181</v>
      </c>
      <c r="H13" s="173">
        <v>337942</v>
      </c>
    </row>
    <row r="14" spans="1:8" s="4" customFormat="1" ht="45.75" customHeight="1">
      <c r="A14" s="136" t="s">
        <v>123</v>
      </c>
      <c r="B14" s="191" t="s">
        <v>169</v>
      </c>
      <c r="C14" s="191"/>
      <c r="D14" s="191"/>
      <c r="E14" s="191"/>
      <c r="F14" s="191"/>
      <c r="G14" s="191"/>
      <c r="H14" s="191"/>
    </row>
    <row r="15" spans="2:8" ht="45" customHeight="1">
      <c r="B15" s="192" t="s">
        <v>170</v>
      </c>
      <c r="C15" s="192"/>
      <c r="D15" s="192"/>
      <c r="E15" s="192"/>
      <c r="F15" s="192"/>
      <c r="G15" s="192"/>
      <c r="H15" s="192"/>
    </row>
    <row r="16" spans="1:2" ht="14.25" customHeight="1">
      <c r="A16" s="119" t="s">
        <v>163</v>
      </c>
      <c r="B16" s="1" t="s">
        <v>153</v>
      </c>
    </row>
    <row r="17" ht="11.25">
      <c r="A17" s="120"/>
    </row>
  </sheetData>
  <sheetProtection/>
  <mergeCells count="11">
    <mergeCell ref="A11:A12"/>
    <mergeCell ref="A13:B13"/>
    <mergeCell ref="B14:H14"/>
    <mergeCell ref="B15:H15"/>
    <mergeCell ref="C4:D4"/>
    <mergeCell ref="A1:H1"/>
    <mergeCell ref="A3:H3"/>
    <mergeCell ref="A4:B5"/>
    <mergeCell ref="E4:F4"/>
    <mergeCell ref="G4:H4"/>
    <mergeCell ref="A7:A10"/>
  </mergeCells>
  <printOptions horizontalCentered="1"/>
  <pageMargins left="0.7086614173228347" right="0.7086614173228347" top="0.7480314960629921" bottom="0.7480314960629921" header="0.31496062992125984" footer="0.31496062992125984"/>
  <pageSetup horizontalDpi="600" verticalDpi="600" orientation="portrait" paperSize="9" scale="77" r:id="rId1"/>
  <headerFooter>
    <oddFooter>&amp;R&amp;K01+000高松国税局
消費税
(R03)</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workbookViewId="0" topLeftCell="A1">
      <selection activeCell="A1" sqref="A1:H1"/>
    </sheetView>
  </sheetViews>
  <sheetFormatPr defaultColWidth="9.00390625" defaultRowHeight="13.5"/>
  <cols>
    <col min="1" max="1" width="10.625" style="49" customWidth="1"/>
    <col min="2" max="2" width="15.625" style="49" customWidth="1"/>
    <col min="3" max="3" width="8.625" style="49" customWidth="1"/>
    <col min="4" max="4" width="10.625" style="49" customWidth="1"/>
    <col min="5" max="5" width="8.625" style="49" customWidth="1"/>
    <col min="6" max="6" width="12.875" style="49" bestFit="1" customWidth="1"/>
    <col min="7" max="7" width="8.625" style="49" customWidth="1"/>
    <col min="8" max="8" width="12.875" style="49" bestFit="1" customWidth="1"/>
    <col min="9" max="16384" width="9.00390625" style="49" customWidth="1"/>
  </cols>
  <sheetData>
    <row r="1" s="1" customFormat="1" ht="12" thickBot="1">
      <c r="A1" s="1" t="s">
        <v>21</v>
      </c>
    </row>
    <row r="2" spans="1:8" s="1" customFormat="1" ht="15" customHeight="1">
      <c r="A2" s="177" t="s">
        <v>0</v>
      </c>
      <c r="B2" s="178"/>
      <c r="C2" s="194" t="s">
        <v>12</v>
      </c>
      <c r="D2" s="194"/>
      <c r="E2" s="194" t="s">
        <v>14</v>
      </c>
      <c r="F2" s="194"/>
      <c r="G2" s="195" t="s">
        <v>15</v>
      </c>
      <c r="H2" s="196"/>
    </row>
    <row r="3" spans="1:8" s="1" customFormat="1" ht="15" customHeight="1">
      <c r="A3" s="179"/>
      <c r="B3" s="180"/>
      <c r="C3" s="9" t="s">
        <v>16</v>
      </c>
      <c r="D3" s="6" t="s">
        <v>17</v>
      </c>
      <c r="E3" s="9" t="s">
        <v>16</v>
      </c>
      <c r="F3" s="7" t="s">
        <v>17</v>
      </c>
      <c r="G3" s="9" t="s">
        <v>16</v>
      </c>
      <c r="H3" s="8" t="s">
        <v>17</v>
      </c>
    </row>
    <row r="4" spans="1:8" s="10" customFormat="1" ht="15" customHeight="1">
      <c r="A4" s="38"/>
      <c r="B4" s="6"/>
      <c r="C4" s="39" t="s">
        <v>3</v>
      </c>
      <c r="D4" s="40" t="s">
        <v>4</v>
      </c>
      <c r="E4" s="39" t="s">
        <v>3</v>
      </c>
      <c r="F4" s="40" t="s">
        <v>4</v>
      </c>
      <c r="G4" s="39" t="s">
        <v>3</v>
      </c>
      <c r="H4" s="41" t="s">
        <v>4</v>
      </c>
    </row>
    <row r="5" spans="1:8" s="48" customFormat="1" ht="30" customHeight="1">
      <c r="A5" s="199" t="s">
        <v>159</v>
      </c>
      <c r="B5" s="31" t="s">
        <v>10</v>
      </c>
      <c r="C5" s="37">
        <v>35033</v>
      </c>
      <c r="D5" s="32">
        <v>15797039</v>
      </c>
      <c r="E5" s="37">
        <v>54140</v>
      </c>
      <c r="F5" s="32">
        <v>275906325</v>
      </c>
      <c r="G5" s="37">
        <v>89173</v>
      </c>
      <c r="H5" s="33">
        <v>291703363</v>
      </c>
    </row>
    <row r="6" spans="1:8" s="48" customFormat="1" ht="30" customHeight="1">
      <c r="A6" s="200"/>
      <c r="B6" s="20" t="s">
        <v>11</v>
      </c>
      <c r="C6" s="22">
        <v>1010</v>
      </c>
      <c r="D6" s="23">
        <v>761698</v>
      </c>
      <c r="E6" s="22">
        <v>2418</v>
      </c>
      <c r="F6" s="23">
        <v>52391110</v>
      </c>
      <c r="G6" s="22">
        <v>3428</v>
      </c>
      <c r="H6" s="24">
        <v>53152808</v>
      </c>
    </row>
    <row r="7" spans="1:8" s="48" customFormat="1" ht="30" customHeight="1">
      <c r="A7" s="199" t="s">
        <v>160</v>
      </c>
      <c r="B7" s="17" t="s">
        <v>10</v>
      </c>
      <c r="C7" s="21">
        <v>34859</v>
      </c>
      <c r="D7" s="15">
        <v>15792603</v>
      </c>
      <c r="E7" s="21">
        <v>54084</v>
      </c>
      <c r="F7" s="15">
        <v>276476407</v>
      </c>
      <c r="G7" s="21">
        <v>88943</v>
      </c>
      <c r="H7" s="16">
        <v>292269010</v>
      </c>
    </row>
    <row r="8" spans="1:8" s="48" customFormat="1" ht="30" customHeight="1">
      <c r="A8" s="200"/>
      <c r="B8" s="20" t="s">
        <v>11</v>
      </c>
      <c r="C8" s="22">
        <v>1058</v>
      </c>
      <c r="D8" s="23">
        <v>771815</v>
      </c>
      <c r="E8" s="22">
        <v>2602</v>
      </c>
      <c r="F8" s="23">
        <v>57470992</v>
      </c>
      <c r="G8" s="22">
        <v>3660</v>
      </c>
      <c r="H8" s="24">
        <v>58242807</v>
      </c>
    </row>
    <row r="9" spans="1:8" s="48" customFormat="1" ht="30" customHeight="1">
      <c r="A9" s="199" t="s">
        <v>161</v>
      </c>
      <c r="B9" s="17" t="s">
        <v>10</v>
      </c>
      <c r="C9" s="21">
        <v>33856</v>
      </c>
      <c r="D9" s="15">
        <v>15839529</v>
      </c>
      <c r="E9" s="21">
        <v>53925</v>
      </c>
      <c r="F9" s="15">
        <v>291809637</v>
      </c>
      <c r="G9" s="21">
        <v>87781</v>
      </c>
      <c r="H9" s="16">
        <v>307649166</v>
      </c>
    </row>
    <row r="10" spans="1:8" s="48" customFormat="1" ht="30" customHeight="1">
      <c r="A10" s="200"/>
      <c r="B10" s="20" t="s">
        <v>11</v>
      </c>
      <c r="C10" s="22">
        <v>1267</v>
      </c>
      <c r="D10" s="23">
        <v>978491</v>
      </c>
      <c r="E10" s="22">
        <v>2871</v>
      </c>
      <c r="F10" s="23">
        <v>64636814</v>
      </c>
      <c r="G10" s="22">
        <v>4138</v>
      </c>
      <c r="H10" s="24">
        <v>65615305</v>
      </c>
    </row>
    <row r="11" spans="1:8" s="48" customFormat="1" ht="30" customHeight="1">
      <c r="A11" s="199" t="s">
        <v>168</v>
      </c>
      <c r="B11" s="17" t="s">
        <v>10</v>
      </c>
      <c r="C11" s="21">
        <v>32708</v>
      </c>
      <c r="D11" s="15">
        <v>15903424</v>
      </c>
      <c r="E11" s="21">
        <v>53388</v>
      </c>
      <c r="F11" s="15">
        <v>317744001</v>
      </c>
      <c r="G11" s="21">
        <v>86096</v>
      </c>
      <c r="H11" s="16">
        <v>333647424</v>
      </c>
    </row>
    <row r="12" spans="1:8" s="48" customFormat="1" ht="30" customHeight="1">
      <c r="A12" s="200"/>
      <c r="B12" s="20" t="s">
        <v>11</v>
      </c>
      <c r="C12" s="22">
        <v>1853</v>
      </c>
      <c r="D12" s="23">
        <v>1324654</v>
      </c>
      <c r="E12" s="22">
        <v>3533</v>
      </c>
      <c r="F12" s="23">
        <v>69089296</v>
      </c>
      <c r="G12" s="22">
        <v>5386</v>
      </c>
      <c r="H12" s="24">
        <v>70413950</v>
      </c>
    </row>
    <row r="13" spans="1:8" s="1" customFormat="1" ht="30" customHeight="1">
      <c r="A13" s="197" t="s">
        <v>171</v>
      </c>
      <c r="B13" s="17" t="s">
        <v>10</v>
      </c>
      <c r="C13" s="140">
        <v>32874</v>
      </c>
      <c r="D13" s="15">
        <v>15791659</v>
      </c>
      <c r="E13" s="21">
        <v>53346</v>
      </c>
      <c r="F13" s="15">
        <v>327050856</v>
      </c>
      <c r="G13" s="21">
        <v>86220</v>
      </c>
      <c r="H13" s="16">
        <v>342842515</v>
      </c>
    </row>
    <row r="14" spans="1:8" s="1" customFormat="1" ht="30" customHeight="1" thickBot="1">
      <c r="A14" s="198"/>
      <c r="B14" s="25" t="s">
        <v>11</v>
      </c>
      <c r="C14" s="141">
        <v>1923</v>
      </c>
      <c r="D14" s="27">
        <v>1075819</v>
      </c>
      <c r="E14" s="26">
        <v>3658</v>
      </c>
      <c r="F14" s="27">
        <v>83019873</v>
      </c>
      <c r="G14" s="26">
        <v>5581</v>
      </c>
      <c r="H14" s="28">
        <v>84095692</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086614173228347" right="0.7086614173228347" top="0.7480314960629921" bottom="0.7480314960629921" header="0.31496062992125984" footer="0.31496062992125984"/>
  <pageSetup horizontalDpi="600" verticalDpi="600" orientation="portrait" paperSize="9" scale="77" r:id="rId1"/>
  <headerFooter>
    <oddFooter>&amp;R&amp;K01+000高松国税局
消費税
(R03)</oddFooter>
  </headerFooter>
</worksheet>
</file>

<file path=xl/worksheets/sheet3.xml><?xml version="1.0" encoding="utf-8"?>
<worksheet xmlns="http://schemas.openxmlformats.org/spreadsheetml/2006/main" xmlns:r="http://schemas.openxmlformats.org/officeDocument/2006/relationships">
  <dimension ref="A1:I6"/>
  <sheetViews>
    <sheetView showGridLines="0" workbookViewId="0" topLeftCell="A1">
      <selection activeCell="A1" sqref="A1:H1"/>
    </sheetView>
  </sheetViews>
  <sheetFormatPr defaultColWidth="9.00390625" defaultRowHeight="13.5"/>
  <cols>
    <col min="1" max="2" width="18.625" style="49" customWidth="1"/>
    <col min="3" max="3" width="23.625" style="49" customWidth="1"/>
    <col min="4" max="4" width="18.625" style="49" customWidth="1"/>
    <col min="5" max="16384" width="9.00390625" style="49" customWidth="1"/>
  </cols>
  <sheetData>
    <row r="1" s="1" customFormat="1" ht="20.25" customHeight="1" thickBot="1">
      <c r="A1" s="1" t="s">
        <v>18</v>
      </c>
    </row>
    <row r="2" spans="1:4" s="4" customFormat="1" ht="19.5" customHeight="1">
      <c r="A2" s="11" t="s">
        <v>6</v>
      </c>
      <c r="B2" s="12" t="s">
        <v>7</v>
      </c>
      <c r="C2" s="13" t="s">
        <v>8</v>
      </c>
      <c r="D2" s="50" t="s">
        <v>22</v>
      </c>
    </row>
    <row r="3" spans="1:4" s="10" customFormat="1" ht="15" customHeight="1">
      <c r="A3" s="42" t="s">
        <v>3</v>
      </c>
      <c r="B3" s="43" t="s">
        <v>3</v>
      </c>
      <c r="C3" s="44" t="s">
        <v>3</v>
      </c>
      <c r="D3" s="45" t="s">
        <v>3</v>
      </c>
    </row>
    <row r="4" spans="1:9" s="4" customFormat="1" ht="30" customHeight="1" thickBot="1">
      <c r="A4" s="132">
        <v>91132</v>
      </c>
      <c r="B4" s="133">
        <v>3156</v>
      </c>
      <c r="C4" s="134">
        <v>189</v>
      </c>
      <c r="D4" s="135">
        <v>94477</v>
      </c>
      <c r="E4" s="5"/>
      <c r="G4" s="5"/>
      <c r="I4" s="5"/>
    </row>
    <row r="5" spans="1:4" s="4" customFormat="1" ht="15" customHeight="1">
      <c r="A5" s="201" t="s">
        <v>172</v>
      </c>
      <c r="B5" s="201"/>
      <c r="C5" s="201"/>
      <c r="D5" s="201"/>
    </row>
    <row r="6" spans="1:4" s="4" customFormat="1" ht="15" customHeight="1">
      <c r="A6" s="202" t="s">
        <v>9</v>
      </c>
      <c r="B6" s="202"/>
      <c r="C6" s="202"/>
      <c r="D6" s="202"/>
    </row>
  </sheetData>
  <sheetProtection/>
  <mergeCells count="2">
    <mergeCell ref="A5:D5"/>
    <mergeCell ref="A6:D6"/>
  </mergeCells>
  <printOptions horizontalCentered="1"/>
  <pageMargins left="0.7086614173228347" right="0.7086614173228347" top="0.7480314960629921" bottom="0.7480314960629921" header="0.31496062992125984" footer="0.31496062992125984"/>
  <pageSetup horizontalDpi="600" verticalDpi="600" orientation="portrait" paperSize="9" scale="77" r:id="rId1"/>
  <headerFooter>
    <oddFooter>&amp;R&amp;K01+000高松国税局
消費税
(R03)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56"/>
  <sheetViews>
    <sheetView zoomScaleSheetLayoutView="100" workbookViewId="0" topLeftCell="A1">
      <selection activeCell="A1" sqref="A1:H1"/>
    </sheetView>
  </sheetViews>
  <sheetFormatPr defaultColWidth="9.00390625" defaultRowHeight="13.5"/>
  <cols>
    <col min="1" max="1" width="11.375" style="98" customWidth="1"/>
    <col min="2" max="2" width="10.625" style="98" customWidth="1"/>
    <col min="3" max="3" width="12.625" style="98" customWidth="1"/>
    <col min="4" max="4" width="10.625" style="98" customWidth="1"/>
    <col min="5" max="5" width="12.625" style="98" customWidth="1"/>
    <col min="6" max="6" width="10.625" style="98" customWidth="1"/>
    <col min="7" max="7" width="12.625" style="98" customWidth="1"/>
    <col min="8" max="8" width="10.625" style="98" customWidth="1"/>
    <col min="9" max="9" width="12.625" style="98" customWidth="1"/>
    <col min="10" max="10" width="10.625" style="98" customWidth="1"/>
    <col min="11" max="11" width="12.625" style="98" customWidth="1"/>
    <col min="12" max="12" width="10.625" style="98" customWidth="1"/>
    <col min="13" max="13" width="12.625" style="98" customWidth="1"/>
    <col min="14" max="14" width="11.375" style="98" customWidth="1"/>
    <col min="15" max="16384" width="9.00390625" style="98" customWidth="1"/>
  </cols>
  <sheetData>
    <row r="1" spans="1:14" ht="13.5">
      <c r="A1" s="51" t="s">
        <v>157</v>
      </c>
      <c r="B1" s="51"/>
      <c r="C1" s="51"/>
      <c r="D1" s="51"/>
      <c r="E1" s="51"/>
      <c r="F1" s="51"/>
      <c r="G1" s="51"/>
      <c r="H1" s="52"/>
      <c r="I1" s="52"/>
      <c r="J1" s="52"/>
      <c r="K1" s="52"/>
      <c r="L1" s="52"/>
      <c r="M1" s="52"/>
      <c r="N1" s="52"/>
    </row>
    <row r="2" spans="1:14" ht="14.25" thickBot="1">
      <c r="A2" s="210" t="s">
        <v>23</v>
      </c>
      <c r="B2" s="210"/>
      <c r="C2" s="210"/>
      <c r="D2" s="210"/>
      <c r="E2" s="210"/>
      <c r="F2" s="210"/>
      <c r="G2" s="210"/>
      <c r="H2" s="52"/>
      <c r="I2" s="52"/>
      <c r="J2" s="52"/>
      <c r="K2" s="52"/>
      <c r="L2" s="52"/>
      <c r="M2" s="52"/>
      <c r="N2" s="52"/>
    </row>
    <row r="3" spans="1:14" ht="19.5" customHeight="1">
      <c r="A3" s="211" t="s">
        <v>24</v>
      </c>
      <c r="B3" s="214" t="s">
        <v>25</v>
      </c>
      <c r="C3" s="214"/>
      <c r="D3" s="214"/>
      <c r="E3" s="214"/>
      <c r="F3" s="214"/>
      <c r="G3" s="214"/>
      <c r="H3" s="215" t="s">
        <v>11</v>
      </c>
      <c r="I3" s="216"/>
      <c r="J3" s="218" t="s">
        <v>26</v>
      </c>
      <c r="K3" s="216"/>
      <c r="L3" s="215" t="s">
        <v>27</v>
      </c>
      <c r="M3" s="216"/>
      <c r="N3" s="203" t="s">
        <v>28</v>
      </c>
    </row>
    <row r="4" spans="1:14" ht="17.25" customHeight="1">
      <c r="A4" s="212"/>
      <c r="B4" s="206" t="s">
        <v>13</v>
      </c>
      <c r="C4" s="206"/>
      <c r="D4" s="207" t="s">
        <v>29</v>
      </c>
      <c r="E4" s="208"/>
      <c r="F4" s="207" t="s">
        <v>30</v>
      </c>
      <c r="G4" s="208"/>
      <c r="H4" s="207"/>
      <c r="I4" s="217"/>
      <c r="J4" s="207"/>
      <c r="K4" s="217"/>
      <c r="L4" s="207"/>
      <c r="M4" s="217"/>
      <c r="N4" s="204"/>
    </row>
    <row r="5" spans="1:14" s="117" customFormat="1" ht="28.5" customHeight="1">
      <c r="A5" s="213"/>
      <c r="B5" s="53" t="s">
        <v>31</v>
      </c>
      <c r="C5" s="54" t="s">
        <v>32</v>
      </c>
      <c r="D5" s="53" t="s">
        <v>31</v>
      </c>
      <c r="E5" s="54" t="s">
        <v>32</v>
      </c>
      <c r="F5" s="53" t="s">
        <v>31</v>
      </c>
      <c r="G5" s="55" t="s">
        <v>33</v>
      </c>
      <c r="H5" s="53" t="s">
        <v>31</v>
      </c>
      <c r="I5" s="56" t="s">
        <v>34</v>
      </c>
      <c r="J5" s="53" t="s">
        <v>31</v>
      </c>
      <c r="K5" s="56" t="s">
        <v>35</v>
      </c>
      <c r="L5" s="53" t="s">
        <v>31</v>
      </c>
      <c r="M5" s="57" t="s">
        <v>36</v>
      </c>
      <c r="N5" s="205"/>
    </row>
    <row r="6" spans="1:14" s="63" customFormat="1" ht="10.5">
      <c r="A6" s="58"/>
      <c r="B6" s="59" t="s">
        <v>3</v>
      </c>
      <c r="C6" s="60" t="s">
        <v>4</v>
      </c>
      <c r="D6" s="59" t="s">
        <v>3</v>
      </c>
      <c r="E6" s="60" t="s">
        <v>4</v>
      </c>
      <c r="F6" s="59" t="s">
        <v>3</v>
      </c>
      <c r="G6" s="60" t="s">
        <v>4</v>
      </c>
      <c r="H6" s="59" t="s">
        <v>3</v>
      </c>
      <c r="I6" s="61" t="s">
        <v>4</v>
      </c>
      <c r="J6" s="59" t="s">
        <v>3</v>
      </c>
      <c r="K6" s="61" t="s">
        <v>4</v>
      </c>
      <c r="L6" s="59" t="s">
        <v>156</v>
      </c>
      <c r="M6" s="61" t="s">
        <v>4</v>
      </c>
      <c r="N6" s="62"/>
    </row>
    <row r="7" spans="1:14" s="66" customFormat="1" ht="15.75" customHeight="1">
      <c r="A7" s="64" t="s">
        <v>37</v>
      </c>
      <c r="B7" s="99">
        <f>_xlfn.COMPOUNDVALUE(1)</f>
        <v>1222</v>
      </c>
      <c r="C7" s="142">
        <v>662526</v>
      </c>
      <c r="D7" s="99">
        <f>_xlfn.COMPOUNDVALUE(2)</f>
        <v>1675</v>
      </c>
      <c r="E7" s="142">
        <v>702479</v>
      </c>
      <c r="F7" s="99">
        <f>_xlfn.COMPOUNDVALUE(3)</f>
        <v>2897</v>
      </c>
      <c r="G7" s="142">
        <v>1365005</v>
      </c>
      <c r="H7" s="99">
        <f>_xlfn.COMPOUNDVALUE(4)</f>
        <v>179</v>
      </c>
      <c r="I7" s="144">
        <v>81123</v>
      </c>
      <c r="J7" s="99">
        <v>358</v>
      </c>
      <c r="K7" s="101">
        <v>101706</v>
      </c>
      <c r="L7" s="99">
        <v>3246</v>
      </c>
      <c r="M7" s="101">
        <v>1385589</v>
      </c>
      <c r="N7" s="81" t="s">
        <v>38</v>
      </c>
    </row>
    <row r="8" spans="1:14" s="66" customFormat="1" ht="15.75" customHeight="1">
      <c r="A8" s="67" t="s">
        <v>39</v>
      </c>
      <c r="B8" s="102">
        <f>_xlfn.COMPOUNDVALUE(5)</f>
        <v>511</v>
      </c>
      <c r="C8" s="143">
        <v>263666</v>
      </c>
      <c r="D8" s="102">
        <f>_xlfn.COMPOUNDVALUE(6)</f>
        <v>1017</v>
      </c>
      <c r="E8" s="143">
        <v>400024</v>
      </c>
      <c r="F8" s="102">
        <f>_xlfn.COMPOUNDVALUE(7)</f>
        <v>1528</v>
      </c>
      <c r="G8" s="143">
        <v>663690</v>
      </c>
      <c r="H8" s="102">
        <f>_xlfn.COMPOUNDVALUE(8)</f>
        <v>77</v>
      </c>
      <c r="I8" s="145">
        <v>49303</v>
      </c>
      <c r="J8" s="102">
        <v>107</v>
      </c>
      <c r="K8" s="104">
        <v>22806</v>
      </c>
      <c r="L8" s="102">
        <v>1646</v>
      </c>
      <c r="M8" s="104">
        <v>637194</v>
      </c>
      <c r="N8" s="68" t="s">
        <v>40</v>
      </c>
    </row>
    <row r="9" spans="1:14" s="66" customFormat="1" ht="15.75" customHeight="1">
      <c r="A9" s="67" t="s">
        <v>41</v>
      </c>
      <c r="B9" s="102">
        <f>_xlfn.COMPOUNDVALUE(9)</f>
        <v>400</v>
      </c>
      <c r="C9" s="143">
        <v>189749</v>
      </c>
      <c r="D9" s="102">
        <f>_xlfn.COMPOUNDVALUE(10)</f>
        <v>436</v>
      </c>
      <c r="E9" s="143">
        <v>165298</v>
      </c>
      <c r="F9" s="102">
        <f>_xlfn.COMPOUNDVALUE(11)</f>
        <v>836</v>
      </c>
      <c r="G9" s="143">
        <v>355047</v>
      </c>
      <c r="H9" s="102">
        <f>_xlfn.COMPOUNDVALUE(12)</f>
        <v>58</v>
      </c>
      <c r="I9" s="145">
        <v>42469</v>
      </c>
      <c r="J9" s="102">
        <v>92</v>
      </c>
      <c r="K9" s="104">
        <v>28895</v>
      </c>
      <c r="L9" s="102">
        <v>944</v>
      </c>
      <c r="M9" s="104">
        <v>341474</v>
      </c>
      <c r="N9" s="68" t="s">
        <v>42</v>
      </c>
    </row>
    <row r="10" spans="1:14" s="66" customFormat="1" ht="15.75" customHeight="1">
      <c r="A10" s="67" t="s">
        <v>43</v>
      </c>
      <c r="B10" s="102">
        <f>_xlfn.COMPOUNDVALUE(13)</f>
        <v>292</v>
      </c>
      <c r="C10" s="143">
        <v>150583</v>
      </c>
      <c r="D10" s="102">
        <f>_xlfn.COMPOUNDVALUE(14)</f>
        <v>398</v>
      </c>
      <c r="E10" s="143">
        <v>135042</v>
      </c>
      <c r="F10" s="102">
        <f>_xlfn.COMPOUNDVALUE(15)</f>
        <v>690</v>
      </c>
      <c r="G10" s="143">
        <v>285626</v>
      </c>
      <c r="H10" s="102">
        <f>_xlfn.COMPOUNDVALUE(16)</f>
        <v>50</v>
      </c>
      <c r="I10" s="145">
        <v>29014</v>
      </c>
      <c r="J10" s="102">
        <v>43</v>
      </c>
      <c r="K10" s="104">
        <v>27689</v>
      </c>
      <c r="L10" s="102">
        <v>768</v>
      </c>
      <c r="M10" s="104">
        <v>284301</v>
      </c>
      <c r="N10" s="68" t="s">
        <v>44</v>
      </c>
    </row>
    <row r="11" spans="1:14" s="66" customFormat="1" ht="15.75" customHeight="1">
      <c r="A11" s="67" t="s">
        <v>45</v>
      </c>
      <c r="B11" s="102">
        <f>_xlfn.COMPOUNDVALUE(17)</f>
        <v>137</v>
      </c>
      <c r="C11" s="143">
        <v>63316</v>
      </c>
      <c r="D11" s="102">
        <f>_xlfn.COMPOUNDVALUE(18)</f>
        <v>175</v>
      </c>
      <c r="E11" s="143">
        <v>70801</v>
      </c>
      <c r="F11" s="102">
        <f>_xlfn.COMPOUNDVALUE(19)</f>
        <v>312</v>
      </c>
      <c r="G11" s="143">
        <v>134117</v>
      </c>
      <c r="H11" s="102">
        <f>_xlfn.COMPOUNDVALUE(20)</f>
        <v>24</v>
      </c>
      <c r="I11" s="145">
        <v>7062</v>
      </c>
      <c r="J11" s="102">
        <v>23</v>
      </c>
      <c r="K11" s="104">
        <v>4002</v>
      </c>
      <c r="L11" s="102">
        <v>346</v>
      </c>
      <c r="M11" s="104">
        <v>131056</v>
      </c>
      <c r="N11" s="68" t="s">
        <v>46</v>
      </c>
    </row>
    <row r="12" spans="1:14" s="66" customFormat="1" ht="15.75" customHeight="1">
      <c r="A12" s="67" t="s">
        <v>47</v>
      </c>
      <c r="B12" s="102">
        <f>_xlfn.COMPOUNDVALUE(21)</f>
        <v>119</v>
      </c>
      <c r="C12" s="143">
        <v>60121</v>
      </c>
      <c r="D12" s="102">
        <f>_xlfn.COMPOUNDVALUE(22)</f>
        <v>135</v>
      </c>
      <c r="E12" s="143">
        <v>56196</v>
      </c>
      <c r="F12" s="102">
        <f>_xlfn.COMPOUNDVALUE(23)</f>
        <v>254</v>
      </c>
      <c r="G12" s="143">
        <v>116317</v>
      </c>
      <c r="H12" s="102">
        <f>_xlfn.COMPOUNDVALUE(24)</f>
        <v>14</v>
      </c>
      <c r="I12" s="145">
        <v>3696</v>
      </c>
      <c r="J12" s="102">
        <v>16</v>
      </c>
      <c r="K12" s="104">
        <v>4927</v>
      </c>
      <c r="L12" s="102">
        <v>275</v>
      </c>
      <c r="M12" s="104">
        <v>117548</v>
      </c>
      <c r="N12" s="68" t="s">
        <v>48</v>
      </c>
    </row>
    <row r="13" spans="1:14" s="66" customFormat="1" ht="15.75" customHeight="1">
      <c r="A13" s="69" t="s">
        <v>49</v>
      </c>
      <c r="B13" s="105">
        <v>2681</v>
      </c>
      <c r="C13" s="106">
        <v>1389963</v>
      </c>
      <c r="D13" s="105">
        <v>3836</v>
      </c>
      <c r="E13" s="106">
        <v>1529840</v>
      </c>
      <c r="F13" s="105">
        <v>6517</v>
      </c>
      <c r="G13" s="106">
        <v>2919803</v>
      </c>
      <c r="H13" s="105">
        <v>402</v>
      </c>
      <c r="I13" s="107">
        <v>212667</v>
      </c>
      <c r="J13" s="105">
        <v>639</v>
      </c>
      <c r="K13" s="107">
        <v>190025</v>
      </c>
      <c r="L13" s="105">
        <v>7225</v>
      </c>
      <c r="M13" s="107">
        <v>2897161</v>
      </c>
      <c r="N13" s="70" t="s">
        <v>50</v>
      </c>
    </row>
    <row r="14" spans="1:14" s="66" customFormat="1" ht="15.75" customHeight="1">
      <c r="A14" s="71"/>
      <c r="B14" s="108"/>
      <c r="C14" s="109"/>
      <c r="D14" s="108"/>
      <c r="E14" s="109"/>
      <c r="F14" s="110"/>
      <c r="G14" s="109"/>
      <c r="H14" s="110"/>
      <c r="I14" s="109"/>
      <c r="J14" s="110"/>
      <c r="K14" s="109"/>
      <c r="L14" s="110"/>
      <c r="M14" s="109"/>
      <c r="N14" s="72"/>
    </row>
    <row r="15" spans="1:14" s="66" customFormat="1" ht="15.75" customHeight="1">
      <c r="A15" s="64" t="s">
        <v>51</v>
      </c>
      <c r="B15" s="99">
        <f>_xlfn.COMPOUNDVALUE(25)</f>
        <v>1356</v>
      </c>
      <c r="C15" s="142">
        <v>775130</v>
      </c>
      <c r="D15" s="99">
        <f>_xlfn.COMPOUNDVALUE(26)</f>
        <v>1778</v>
      </c>
      <c r="E15" s="142">
        <v>869773</v>
      </c>
      <c r="F15" s="99">
        <f>_xlfn.COMPOUNDVALUE(27)</f>
        <v>3134</v>
      </c>
      <c r="G15" s="142">
        <v>1644903</v>
      </c>
      <c r="H15" s="99">
        <f>_xlfn.COMPOUNDVALUE(28)</f>
        <v>233</v>
      </c>
      <c r="I15" s="144">
        <v>105841</v>
      </c>
      <c r="J15" s="99">
        <v>263</v>
      </c>
      <c r="K15" s="101">
        <v>54473</v>
      </c>
      <c r="L15" s="99">
        <v>3480</v>
      </c>
      <c r="M15" s="101">
        <v>1593535</v>
      </c>
      <c r="N15" s="65" t="s">
        <v>52</v>
      </c>
    </row>
    <row r="16" spans="1:14" s="66" customFormat="1" ht="15.75" customHeight="1">
      <c r="A16" s="67" t="s">
        <v>53</v>
      </c>
      <c r="B16" s="102">
        <f>_xlfn.COMPOUNDVALUE(29)</f>
        <v>551</v>
      </c>
      <c r="C16" s="143">
        <v>326845</v>
      </c>
      <c r="D16" s="102">
        <f>_xlfn.COMPOUNDVALUE(30)</f>
        <v>798</v>
      </c>
      <c r="E16" s="143">
        <v>356049</v>
      </c>
      <c r="F16" s="102">
        <f>_xlfn.COMPOUNDVALUE(31)</f>
        <v>1349</v>
      </c>
      <c r="G16" s="143">
        <v>682894</v>
      </c>
      <c r="H16" s="102">
        <f>_xlfn.COMPOUNDVALUE(32)</f>
        <v>68</v>
      </c>
      <c r="I16" s="145">
        <v>32847</v>
      </c>
      <c r="J16" s="102">
        <v>102</v>
      </c>
      <c r="K16" s="104">
        <v>41649</v>
      </c>
      <c r="L16" s="102">
        <v>1479</v>
      </c>
      <c r="M16" s="104">
        <v>691697</v>
      </c>
      <c r="N16" s="68" t="s">
        <v>54</v>
      </c>
    </row>
    <row r="17" spans="1:14" s="66" customFormat="1" ht="15.75" customHeight="1">
      <c r="A17" s="67" t="s">
        <v>55</v>
      </c>
      <c r="B17" s="102">
        <f>_xlfn.COMPOUNDVALUE(33)</f>
        <v>249</v>
      </c>
      <c r="C17" s="143">
        <v>155899</v>
      </c>
      <c r="D17" s="102">
        <f>_xlfn.COMPOUNDVALUE(34)</f>
        <v>347</v>
      </c>
      <c r="E17" s="143">
        <v>161647</v>
      </c>
      <c r="F17" s="102">
        <f>_xlfn.COMPOUNDVALUE(35)</f>
        <v>596</v>
      </c>
      <c r="G17" s="143">
        <v>317546</v>
      </c>
      <c r="H17" s="102">
        <f>_xlfn.COMPOUNDVALUE(36)</f>
        <v>22</v>
      </c>
      <c r="I17" s="145">
        <v>13706</v>
      </c>
      <c r="J17" s="102">
        <v>45</v>
      </c>
      <c r="K17" s="104">
        <v>10501</v>
      </c>
      <c r="L17" s="102">
        <v>634</v>
      </c>
      <c r="M17" s="104">
        <v>314341</v>
      </c>
      <c r="N17" s="68" t="s">
        <v>56</v>
      </c>
    </row>
    <row r="18" spans="1:14" s="66" customFormat="1" ht="15.75" customHeight="1">
      <c r="A18" s="67" t="s">
        <v>57</v>
      </c>
      <c r="B18" s="102">
        <f>_xlfn.COMPOUNDVALUE(37)</f>
        <v>391</v>
      </c>
      <c r="C18" s="143">
        <v>210812</v>
      </c>
      <c r="D18" s="102">
        <f>_xlfn.COMPOUNDVALUE(38)</f>
        <v>779</v>
      </c>
      <c r="E18" s="143">
        <v>303270</v>
      </c>
      <c r="F18" s="102">
        <f>_xlfn.COMPOUNDVALUE(39)</f>
        <v>1170</v>
      </c>
      <c r="G18" s="143">
        <v>514082</v>
      </c>
      <c r="H18" s="102">
        <f>_xlfn.COMPOUNDVALUE(40)</f>
        <v>59</v>
      </c>
      <c r="I18" s="145">
        <v>28447</v>
      </c>
      <c r="J18" s="102">
        <v>42</v>
      </c>
      <c r="K18" s="104">
        <v>12703</v>
      </c>
      <c r="L18" s="102">
        <v>1257</v>
      </c>
      <c r="M18" s="104">
        <v>498338</v>
      </c>
      <c r="N18" s="68" t="s">
        <v>58</v>
      </c>
    </row>
    <row r="19" spans="1:14" s="66" customFormat="1" ht="15.75" customHeight="1">
      <c r="A19" s="67" t="s">
        <v>59</v>
      </c>
      <c r="B19" s="102">
        <f>_xlfn.COMPOUNDVALUE(41)</f>
        <v>276</v>
      </c>
      <c r="C19" s="143">
        <v>138725</v>
      </c>
      <c r="D19" s="102">
        <f>_xlfn.COMPOUNDVALUE(42)</f>
        <v>332</v>
      </c>
      <c r="E19" s="143">
        <v>131369</v>
      </c>
      <c r="F19" s="102">
        <f>_xlfn.COMPOUNDVALUE(43)</f>
        <v>608</v>
      </c>
      <c r="G19" s="143">
        <v>270094</v>
      </c>
      <c r="H19" s="102">
        <f>_xlfn.COMPOUNDVALUE(44)</f>
        <v>36</v>
      </c>
      <c r="I19" s="145">
        <v>29364</v>
      </c>
      <c r="J19" s="102">
        <v>16</v>
      </c>
      <c r="K19" s="104">
        <v>2046</v>
      </c>
      <c r="L19" s="102">
        <v>648</v>
      </c>
      <c r="M19" s="104">
        <v>242775</v>
      </c>
      <c r="N19" s="68" t="s">
        <v>60</v>
      </c>
    </row>
    <row r="20" spans="1:14" s="66" customFormat="1" ht="15.75" customHeight="1">
      <c r="A20" s="67" t="s">
        <v>61</v>
      </c>
      <c r="B20" s="102">
        <f>_xlfn.COMPOUNDVALUE(45)</f>
        <v>81</v>
      </c>
      <c r="C20" s="143">
        <v>32935</v>
      </c>
      <c r="D20" s="102">
        <f>_xlfn.COMPOUNDVALUE(46)</f>
        <v>182</v>
      </c>
      <c r="E20" s="143">
        <v>57856</v>
      </c>
      <c r="F20" s="102">
        <f>_xlfn.COMPOUNDVALUE(47)</f>
        <v>263</v>
      </c>
      <c r="G20" s="143">
        <v>90790</v>
      </c>
      <c r="H20" s="102">
        <f>_xlfn.COMPOUNDVALUE(48)</f>
        <v>12</v>
      </c>
      <c r="I20" s="145">
        <v>3185</v>
      </c>
      <c r="J20" s="102">
        <v>24</v>
      </c>
      <c r="K20" s="104">
        <v>3300</v>
      </c>
      <c r="L20" s="102">
        <v>285</v>
      </c>
      <c r="M20" s="104">
        <v>90906</v>
      </c>
      <c r="N20" s="68" t="s">
        <v>62</v>
      </c>
    </row>
    <row r="21" spans="1:14" s="66" customFormat="1" ht="15.75" customHeight="1">
      <c r="A21" s="69" t="s">
        <v>63</v>
      </c>
      <c r="B21" s="105">
        <v>2904</v>
      </c>
      <c r="C21" s="106">
        <v>1640346</v>
      </c>
      <c r="D21" s="105">
        <v>4216</v>
      </c>
      <c r="E21" s="106">
        <v>1879963</v>
      </c>
      <c r="F21" s="105">
        <v>7120</v>
      </c>
      <c r="G21" s="106">
        <v>3520309</v>
      </c>
      <c r="H21" s="105">
        <v>430</v>
      </c>
      <c r="I21" s="107">
        <v>213390</v>
      </c>
      <c r="J21" s="105">
        <v>492</v>
      </c>
      <c r="K21" s="107">
        <v>124672</v>
      </c>
      <c r="L21" s="105">
        <v>7783</v>
      </c>
      <c r="M21" s="107">
        <v>3431591</v>
      </c>
      <c r="N21" s="70" t="s">
        <v>64</v>
      </c>
    </row>
    <row r="22" spans="1:14" s="66" customFormat="1" ht="15.75" customHeight="1">
      <c r="A22" s="71"/>
      <c r="B22" s="108"/>
      <c r="C22" s="109"/>
      <c r="D22" s="108"/>
      <c r="E22" s="109"/>
      <c r="F22" s="110"/>
      <c r="G22" s="109"/>
      <c r="H22" s="110"/>
      <c r="I22" s="109"/>
      <c r="J22" s="110"/>
      <c r="K22" s="109"/>
      <c r="L22" s="110"/>
      <c r="M22" s="109"/>
      <c r="N22" s="72"/>
    </row>
    <row r="23" spans="1:14" s="66" customFormat="1" ht="15.75" customHeight="1">
      <c r="A23" s="64" t="s">
        <v>65</v>
      </c>
      <c r="B23" s="99">
        <f>_xlfn.COMPOUNDVALUE(49)</f>
        <v>2088</v>
      </c>
      <c r="C23" s="142">
        <v>1165218</v>
      </c>
      <c r="D23" s="99">
        <f>_xlfn.COMPOUNDVALUE(50)</f>
        <v>2527</v>
      </c>
      <c r="E23" s="142">
        <v>1173299</v>
      </c>
      <c r="F23" s="99">
        <f>_xlfn.COMPOUNDVALUE(51)</f>
        <v>4615</v>
      </c>
      <c r="G23" s="142">
        <v>2338517</v>
      </c>
      <c r="H23" s="99">
        <f>_xlfn.COMPOUNDVALUE(52)</f>
        <v>305</v>
      </c>
      <c r="I23" s="144">
        <v>115072</v>
      </c>
      <c r="J23" s="99">
        <v>383</v>
      </c>
      <c r="K23" s="101">
        <v>183758</v>
      </c>
      <c r="L23" s="99">
        <v>5136</v>
      </c>
      <c r="M23" s="101">
        <v>2407202</v>
      </c>
      <c r="N23" s="65" t="s">
        <v>66</v>
      </c>
    </row>
    <row r="24" spans="1:14" s="66" customFormat="1" ht="15.75" customHeight="1">
      <c r="A24" s="67" t="s">
        <v>67</v>
      </c>
      <c r="B24" s="146">
        <f>_xlfn.COMPOUNDVALUE(53)</f>
        <v>594</v>
      </c>
      <c r="C24" s="143">
        <v>385150</v>
      </c>
      <c r="D24" s="102">
        <f>_xlfn.COMPOUNDVALUE(54)</f>
        <v>856</v>
      </c>
      <c r="E24" s="143">
        <v>415266</v>
      </c>
      <c r="F24" s="146">
        <f>_xlfn.COMPOUNDVALUE(55)</f>
        <v>1450</v>
      </c>
      <c r="G24" s="143">
        <v>800416</v>
      </c>
      <c r="H24" s="146">
        <f>_xlfn.COMPOUNDVALUE(56)</f>
        <v>61</v>
      </c>
      <c r="I24" s="145">
        <v>31646</v>
      </c>
      <c r="J24" s="102">
        <v>84</v>
      </c>
      <c r="K24" s="104">
        <v>29643</v>
      </c>
      <c r="L24" s="102">
        <v>1557</v>
      </c>
      <c r="M24" s="104">
        <v>798413</v>
      </c>
      <c r="N24" s="68" t="s">
        <v>68</v>
      </c>
    </row>
    <row r="25" spans="1:14" s="66" customFormat="1" ht="15.75" customHeight="1">
      <c r="A25" s="67" t="s">
        <v>69</v>
      </c>
      <c r="B25" s="102">
        <f>_xlfn.COMPOUNDVALUE(57)</f>
        <v>500</v>
      </c>
      <c r="C25" s="143">
        <v>392341</v>
      </c>
      <c r="D25" s="102">
        <f>_xlfn.COMPOUNDVALUE(58)</f>
        <v>931</v>
      </c>
      <c r="E25" s="143">
        <v>329390</v>
      </c>
      <c r="F25" s="102">
        <f>_xlfn.COMPOUNDVALUE(59)</f>
        <v>1431</v>
      </c>
      <c r="G25" s="143">
        <v>721731</v>
      </c>
      <c r="H25" s="102">
        <f>_xlfn.COMPOUNDVALUE(60)</f>
        <v>157</v>
      </c>
      <c r="I25" s="145">
        <v>194018</v>
      </c>
      <c r="J25" s="102">
        <v>59</v>
      </c>
      <c r="K25" s="104">
        <v>15105</v>
      </c>
      <c r="L25" s="102">
        <v>1619</v>
      </c>
      <c r="M25" s="104">
        <v>542817</v>
      </c>
      <c r="N25" s="68" t="s">
        <v>70</v>
      </c>
    </row>
    <row r="26" spans="1:14" s="66" customFormat="1" ht="15.75" customHeight="1">
      <c r="A26" s="67" t="s">
        <v>71</v>
      </c>
      <c r="B26" s="102">
        <f>_xlfn.COMPOUNDVALUE(61)</f>
        <v>244</v>
      </c>
      <c r="C26" s="143">
        <v>152497</v>
      </c>
      <c r="D26" s="102">
        <f>_xlfn.COMPOUNDVALUE(62)</f>
        <v>735</v>
      </c>
      <c r="E26" s="143">
        <v>246401</v>
      </c>
      <c r="F26" s="102">
        <f>_xlfn.COMPOUNDVALUE(63)</f>
        <v>979</v>
      </c>
      <c r="G26" s="143">
        <v>398898</v>
      </c>
      <c r="H26" s="102">
        <f>_xlfn.COMPOUNDVALUE(64)</f>
        <v>63</v>
      </c>
      <c r="I26" s="145">
        <v>36492</v>
      </c>
      <c r="J26" s="102">
        <v>78</v>
      </c>
      <c r="K26" s="104">
        <v>6476</v>
      </c>
      <c r="L26" s="102">
        <v>1063</v>
      </c>
      <c r="M26" s="104">
        <v>368881</v>
      </c>
      <c r="N26" s="68" t="s">
        <v>72</v>
      </c>
    </row>
    <row r="27" spans="1:14" s="66" customFormat="1" ht="15.75" customHeight="1">
      <c r="A27" s="67" t="s">
        <v>73</v>
      </c>
      <c r="B27" s="102">
        <f>_xlfn.COMPOUNDVALUE(65)</f>
        <v>334</v>
      </c>
      <c r="C27" s="143">
        <v>169417</v>
      </c>
      <c r="D27" s="102">
        <f>_xlfn.COMPOUNDVALUE(66)</f>
        <v>432</v>
      </c>
      <c r="E27" s="143">
        <v>203731</v>
      </c>
      <c r="F27" s="102">
        <f>_xlfn.COMPOUNDVALUE(67)</f>
        <v>766</v>
      </c>
      <c r="G27" s="143">
        <v>373148</v>
      </c>
      <c r="H27" s="102">
        <f>_xlfn.COMPOUNDVALUE(68)</f>
        <v>24</v>
      </c>
      <c r="I27" s="145">
        <v>2736</v>
      </c>
      <c r="J27" s="102">
        <v>76</v>
      </c>
      <c r="K27" s="104">
        <v>21620</v>
      </c>
      <c r="L27" s="102">
        <v>842</v>
      </c>
      <c r="M27" s="104">
        <v>392032</v>
      </c>
      <c r="N27" s="68" t="s">
        <v>74</v>
      </c>
    </row>
    <row r="28" spans="1:14" s="66" customFormat="1" ht="15.75" customHeight="1">
      <c r="A28" s="67" t="s">
        <v>75</v>
      </c>
      <c r="B28" s="102">
        <f>_xlfn.COMPOUNDVALUE(69)</f>
        <v>353</v>
      </c>
      <c r="C28" s="143">
        <v>183599</v>
      </c>
      <c r="D28" s="102">
        <f>_xlfn.COMPOUNDVALUE(70)</f>
        <v>445</v>
      </c>
      <c r="E28" s="143">
        <v>184869</v>
      </c>
      <c r="F28" s="102">
        <f>_xlfn.COMPOUNDVALUE(71)</f>
        <v>798</v>
      </c>
      <c r="G28" s="143">
        <v>368467</v>
      </c>
      <c r="H28" s="102">
        <f>_xlfn.COMPOUNDVALUE(72)</f>
        <v>36</v>
      </c>
      <c r="I28" s="145">
        <v>17958</v>
      </c>
      <c r="J28" s="102">
        <v>27</v>
      </c>
      <c r="K28" s="104">
        <v>26785</v>
      </c>
      <c r="L28" s="102">
        <v>839</v>
      </c>
      <c r="M28" s="104">
        <v>377295</v>
      </c>
      <c r="N28" s="68" t="s">
        <v>76</v>
      </c>
    </row>
    <row r="29" spans="1:14" s="66" customFormat="1" ht="15.75" customHeight="1">
      <c r="A29" s="67" t="s">
        <v>77</v>
      </c>
      <c r="B29" s="102">
        <f>_xlfn.COMPOUNDVALUE(73)</f>
        <v>178</v>
      </c>
      <c r="C29" s="143">
        <v>88994</v>
      </c>
      <c r="D29" s="102">
        <f>_xlfn.COMPOUNDVALUE(74)</f>
        <v>316</v>
      </c>
      <c r="E29" s="143">
        <v>115001</v>
      </c>
      <c r="F29" s="102">
        <f>_xlfn.COMPOUNDVALUE(75)</f>
        <v>494</v>
      </c>
      <c r="G29" s="143">
        <v>203995</v>
      </c>
      <c r="H29" s="102">
        <f>_xlfn.COMPOUNDVALUE(76)</f>
        <v>43</v>
      </c>
      <c r="I29" s="145">
        <v>12470</v>
      </c>
      <c r="J29" s="102">
        <v>13</v>
      </c>
      <c r="K29" s="104">
        <v>1599</v>
      </c>
      <c r="L29" s="102">
        <v>545</v>
      </c>
      <c r="M29" s="104">
        <v>193124</v>
      </c>
      <c r="N29" s="68" t="s">
        <v>78</v>
      </c>
    </row>
    <row r="30" spans="1:14" s="66" customFormat="1" ht="15.75" customHeight="1">
      <c r="A30" s="67" t="s">
        <v>79</v>
      </c>
      <c r="B30" s="102">
        <f>_xlfn.COMPOUNDVALUE(77)</f>
        <v>229</v>
      </c>
      <c r="C30" s="143">
        <v>112198</v>
      </c>
      <c r="D30" s="102">
        <f>_xlfn.COMPOUNDVALUE(78)</f>
        <v>288</v>
      </c>
      <c r="E30" s="143">
        <v>140130</v>
      </c>
      <c r="F30" s="102">
        <f>_xlfn.COMPOUNDVALUE(79)</f>
        <v>517</v>
      </c>
      <c r="G30" s="143">
        <v>252328</v>
      </c>
      <c r="H30" s="102">
        <f>_xlfn.COMPOUNDVALUE(80)</f>
        <v>19</v>
      </c>
      <c r="I30" s="145">
        <v>5532</v>
      </c>
      <c r="J30" s="102">
        <v>25</v>
      </c>
      <c r="K30" s="104">
        <v>4862</v>
      </c>
      <c r="L30" s="102">
        <v>542</v>
      </c>
      <c r="M30" s="104">
        <v>251657</v>
      </c>
      <c r="N30" s="68" t="s">
        <v>80</v>
      </c>
    </row>
    <row r="31" spans="1:14" s="66" customFormat="1" ht="15.75" customHeight="1">
      <c r="A31" s="69" t="s">
        <v>81</v>
      </c>
      <c r="B31" s="147">
        <v>4520</v>
      </c>
      <c r="C31" s="106">
        <v>2649413</v>
      </c>
      <c r="D31" s="105">
        <v>6530</v>
      </c>
      <c r="E31" s="106">
        <v>2808086</v>
      </c>
      <c r="F31" s="147">
        <v>11050</v>
      </c>
      <c r="G31" s="106">
        <v>5457499</v>
      </c>
      <c r="H31" s="147">
        <v>708</v>
      </c>
      <c r="I31" s="148">
        <v>415924</v>
      </c>
      <c r="J31" s="105">
        <v>745</v>
      </c>
      <c r="K31" s="107">
        <v>289847</v>
      </c>
      <c r="L31" s="105">
        <v>12143</v>
      </c>
      <c r="M31" s="107">
        <v>5331422</v>
      </c>
      <c r="N31" s="70" t="s">
        <v>82</v>
      </c>
    </row>
    <row r="32" spans="1:14" s="66" customFormat="1" ht="15.75" customHeight="1">
      <c r="A32" s="71"/>
      <c r="B32" s="108"/>
      <c r="C32" s="109"/>
      <c r="D32" s="108"/>
      <c r="E32" s="109"/>
      <c r="F32" s="110"/>
      <c r="G32" s="109"/>
      <c r="H32" s="110"/>
      <c r="I32" s="109"/>
      <c r="J32" s="110"/>
      <c r="K32" s="109"/>
      <c r="L32" s="110"/>
      <c r="M32" s="109"/>
      <c r="N32" s="72"/>
    </row>
    <row r="33" spans="1:14" s="66" customFormat="1" ht="15.75" customHeight="1">
      <c r="A33" s="64" t="s">
        <v>83</v>
      </c>
      <c r="B33" s="99">
        <f>_xlfn.COMPOUNDVALUE(81)</f>
        <v>1282</v>
      </c>
      <c r="C33" s="142">
        <v>870914</v>
      </c>
      <c r="D33" s="99">
        <f>_xlfn.COMPOUNDVALUE(82)</f>
        <v>1707</v>
      </c>
      <c r="E33" s="142">
        <v>799233</v>
      </c>
      <c r="F33" s="99">
        <f>_xlfn.COMPOUNDVALUE(83)</f>
        <v>2989</v>
      </c>
      <c r="G33" s="142">
        <v>1670147</v>
      </c>
      <c r="H33" s="99">
        <f>_xlfn.COMPOUNDVALUE(84)</f>
        <v>164</v>
      </c>
      <c r="I33" s="144">
        <v>73709</v>
      </c>
      <c r="J33" s="99">
        <v>257</v>
      </c>
      <c r="K33" s="101">
        <v>60843</v>
      </c>
      <c r="L33" s="99">
        <v>3262</v>
      </c>
      <c r="M33" s="101">
        <v>1657280</v>
      </c>
      <c r="N33" s="65" t="s">
        <v>84</v>
      </c>
    </row>
    <row r="34" spans="1:14" s="66" customFormat="1" ht="15.75" customHeight="1">
      <c r="A34" s="67" t="s">
        <v>85</v>
      </c>
      <c r="B34" s="102">
        <f>_xlfn.COMPOUNDVALUE(85)</f>
        <v>201</v>
      </c>
      <c r="C34" s="143">
        <v>162012</v>
      </c>
      <c r="D34" s="102">
        <f>_xlfn.COMPOUNDVALUE(86)</f>
        <v>801</v>
      </c>
      <c r="E34" s="143">
        <v>224489</v>
      </c>
      <c r="F34" s="102">
        <f>_xlfn.COMPOUNDVALUE(87)</f>
        <v>1002</v>
      </c>
      <c r="G34" s="143">
        <v>386501</v>
      </c>
      <c r="H34" s="102">
        <f>_xlfn.COMPOUNDVALUE(88)</f>
        <v>25</v>
      </c>
      <c r="I34" s="145">
        <v>33188</v>
      </c>
      <c r="J34" s="102">
        <v>81</v>
      </c>
      <c r="K34" s="104">
        <v>7101</v>
      </c>
      <c r="L34" s="102">
        <v>1068</v>
      </c>
      <c r="M34" s="104">
        <v>360414</v>
      </c>
      <c r="N34" s="68" t="s">
        <v>86</v>
      </c>
    </row>
    <row r="35" spans="1:14" s="66" customFormat="1" ht="15.75" customHeight="1">
      <c r="A35" s="67" t="s">
        <v>87</v>
      </c>
      <c r="B35" s="102">
        <f>_xlfn.COMPOUNDVALUE(89)</f>
        <v>359</v>
      </c>
      <c r="C35" s="143">
        <v>202876</v>
      </c>
      <c r="D35" s="102">
        <f>_xlfn.COMPOUNDVALUE(90)</f>
        <v>834</v>
      </c>
      <c r="E35" s="143">
        <v>297323</v>
      </c>
      <c r="F35" s="102">
        <f>_xlfn.COMPOUNDVALUE(91)</f>
        <v>1193</v>
      </c>
      <c r="G35" s="143">
        <v>500199</v>
      </c>
      <c r="H35" s="102">
        <f>_xlfn.COMPOUNDVALUE(92)</f>
        <v>62</v>
      </c>
      <c r="I35" s="145">
        <v>34401</v>
      </c>
      <c r="J35" s="102">
        <v>79</v>
      </c>
      <c r="K35" s="104">
        <v>16537</v>
      </c>
      <c r="L35" s="102">
        <v>1298</v>
      </c>
      <c r="M35" s="104">
        <v>482335</v>
      </c>
      <c r="N35" s="68" t="s">
        <v>88</v>
      </c>
    </row>
    <row r="36" spans="1:14" s="66" customFormat="1" ht="15.75" customHeight="1">
      <c r="A36" s="67" t="s">
        <v>89</v>
      </c>
      <c r="B36" s="102">
        <f>_xlfn.COMPOUNDVALUE(93)</f>
        <v>276</v>
      </c>
      <c r="C36" s="143">
        <v>186513</v>
      </c>
      <c r="D36" s="102">
        <f>_xlfn.COMPOUNDVALUE(94)</f>
        <v>855</v>
      </c>
      <c r="E36" s="143">
        <v>290618</v>
      </c>
      <c r="F36" s="102">
        <f>_xlfn.COMPOUNDVALUE(95)</f>
        <v>1131</v>
      </c>
      <c r="G36" s="143">
        <v>477131</v>
      </c>
      <c r="H36" s="102">
        <f>_xlfn.COMPOUNDVALUE(96)</f>
        <v>49</v>
      </c>
      <c r="I36" s="145">
        <v>40952</v>
      </c>
      <c r="J36" s="102">
        <v>111</v>
      </c>
      <c r="K36" s="104">
        <v>29864</v>
      </c>
      <c r="L36" s="102">
        <v>1236</v>
      </c>
      <c r="M36" s="104">
        <v>466044</v>
      </c>
      <c r="N36" s="68" t="s">
        <v>90</v>
      </c>
    </row>
    <row r="37" spans="1:14" s="66" customFormat="1" ht="15.75" customHeight="1">
      <c r="A37" s="67" t="s">
        <v>91</v>
      </c>
      <c r="B37" s="102">
        <f>_xlfn.COMPOUNDVALUE(97)</f>
        <v>456</v>
      </c>
      <c r="C37" s="143">
        <v>280793</v>
      </c>
      <c r="D37" s="102">
        <f>_xlfn.COMPOUNDVALUE(98)</f>
        <v>618</v>
      </c>
      <c r="E37" s="143">
        <v>234542</v>
      </c>
      <c r="F37" s="102">
        <f>_xlfn.COMPOUNDVALUE(99)</f>
        <v>1074</v>
      </c>
      <c r="G37" s="143">
        <v>515335</v>
      </c>
      <c r="H37" s="102">
        <f>_xlfn.COMPOUNDVALUE(100)</f>
        <v>66</v>
      </c>
      <c r="I37" s="145">
        <v>31126</v>
      </c>
      <c r="J37" s="102">
        <v>85</v>
      </c>
      <c r="K37" s="104">
        <v>23053</v>
      </c>
      <c r="L37" s="102">
        <v>1200</v>
      </c>
      <c r="M37" s="104">
        <v>507261</v>
      </c>
      <c r="N37" s="68" t="s">
        <v>92</v>
      </c>
    </row>
    <row r="38" spans="1:14" s="66" customFormat="1" ht="15.75" customHeight="1">
      <c r="A38" s="67" t="s">
        <v>93</v>
      </c>
      <c r="B38" s="102">
        <f>_xlfn.COMPOUNDVALUE(101)</f>
        <v>212</v>
      </c>
      <c r="C38" s="143">
        <v>134761</v>
      </c>
      <c r="D38" s="102">
        <f>_xlfn.COMPOUNDVALUE(102)</f>
        <v>586</v>
      </c>
      <c r="E38" s="143">
        <v>209975</v>
      </c>
      <c r="F38" s="102">
        <f>_xlfn.COMPOUNDVALUE(103)</f>
        <v>798</v>
      </c>
      <c r="G38" s="143">
        <v>344736</v>
      </c>
      <c r="H38" s="102">
        <f>_xlfn.COMPOUNDVALUE(104)</f>
        <v>17</v>
      </c>
      <c r="I38" s="145">
        <v>20461</v>
      </c>
      <c r="J38" s="102">
        <v>87</v>
      </c>
      <c r="K38" s="104">
        <v>23731</v>
      </c>
      <c r="L38" s="102">
        <v>854</v>
      </c>
      <c r="M38" s="104">
        <v>348006</v>
      </c>
      <c r="N38" s="68" t="s">
        <v>94</v>
      </c>
    </row>
    <row r="39" spans="1:14" s="66" customFormat="1" ht="15.75" customHeight="1">
      <c r="A39" s="69" t="s">
        <v>95</v>
      </c>
      <c r="B39" s="105">
        <v>2786</v>
      </c>
      <c r="C39" s="106">
        <v>1837869</v>
      </c>
      <c r="D39" s="105">
        <v>5401</v>
      </c>
      <c r="E39" s="106">
        <v>2056180</v>
      </c>
      <c r="F39" s="105">
        <v>8187</v>
      </c>
      <c r="G39" s="106">
        <v>3894049</v>
      </c>
      <c r="H39" s="105">
        <v>383</v>
      </c>
      <c r="I39" s="107">
        <v>233838</v>
      </c>
      <c r="J39" s="105">
        <v>700</v>
      </c>
      <c r="K39" s="107">
        <v>161129</v>
      </c>
      <c r="L39" s="105">
        <v>8918</v>
      </c>
      <c r="M39" s="107">
        <v>3821340</v>
      </c>
      <c r="N39" s="70" t="s">
        <v>96</v>
      </c>
    </row>
    <row r="40" spans="1:15" s="66" customFormat="1" ht="15.75" customHeight="1" thickBot="1">
      <c r="A40" s="73"/>
      <c r="B40" s="111"/>
      <c r="C40" s="112"/>
      <c r="D40" s="111"/>
      <c r="E40" s="112"/>
      <c r="F40" s="113"/>
      <c r="G40" s="112"/>
      <c r="H40" s="113"/>
      <c r="I40" s="112"/>
      <c r="J40" s="113"/>
      <c r="K40" s="112"/>
      <c r="L40" s="113"/>
      <c r="M40" s="112"/>
      <c r="N40" s="74"/>
      <c r="O40" s="75"/>
    </row>
    <row r="41" spans="1:14" s="66" customFormat="1" ht="15.75" customHeight="1" thickBot="1" thickTop="1">
      <c r="A41" s="76" t="s">
        <v>97</v>
      </c>
      <c r="B41" s="149">
        <v>12891</v>
      </c>
      <c r="C41" s="115">
        <v>7517591</v>
      </c>
      <c r="D41" s="114">
        <v>19983</v>
      </c>
      <c r="E41" s="115">
        <v>8274068</v>
      </c>
      <c r="F41" s="149">
        <v>32874</v>
      </c>
      <c r="G41" s="115">
        <v>15791659</v>
      </c>
      <c r="H41" s="149">
        <v>1923</v>
      </c>
      <c r="I41" s="116">
        <v>1075819</v>
      </c>
      <c r="J41" s="114">
        <v>2576</v>
      </c>
      <c r="K41" s="116">
        <v>765674</v>
      </c>
      <c r="L41" s="114">
        <v>36069</v>
      </c>
      <c r="M41" s="116">
        <v>15481514</v>
      </c>
      <c r="N41" s="77" t="s">
        <v>98</v>
      </c>
    </row>
    <row r="42" spans="1:14" ht="13.5">
      <c r="A42" s="209" t="s">
        <v>154</v>
      </c>
      <c r="B42" s="209"/>
      <c r="C42" s="209"/>
      <c r="D42" s="209"/>
      <c r="E42" s="209"/>
      <c r="F42" s="209"/>
      <c r="G42" s="209"/>
      <c r="H42" s="209"/>
      <c r="I42" s="209"/>
      <c r="J42" s="78"/>
      <c r="K42" s="78"/>
      <c r="L42" s="52"/>
      <c r="M42" s="52"/>
      <c r="N42" s="52"/>
    </row>
    <row r="44" spans="2:10" ht="13.5">
      <c r="B44" s="118"/>
      <c r="C44" s="118"/>
      <c r="D44" s="118"/>
      <c r="E44" s="118"/>
      <c r="F44" s="118"/>
      <c r="G44" s="118"/>
      <c r="H44" s="118"/>
      <c r="J44" s="118"/>
    </row>
    <row r="45" spans="2:10" ht="13.5">
      <c r="B45" s="118"/>
      <c r="C45" s="118"/>
      <c r="D45" s="118"/>
      <c r="E45" s="118"/>
      <c r="F45" s="118"/>
      <c r="G45" s="118"/>
      <c r="H45" s="118"/>
      <c r="J45" s="118"/>
    </row>
    <row r="46" spans="2:10" ht="13.5">
      <c r="B46" s="118"/>
      <c r="C46" s="118"/>
      <c r="D46" s="118"/>
      <c r="E46" s="118"/>
      <c r="F46" s="118"/>
      <c r="G46" s="118"/>
      <c r="H46" s="118"/>
      <c r="J46" s="118"/>
    </row>
    <row r="47" spans="2:10" ht="13.5">
      <c r="B47" s="118"/>
      <c r="C47" s="118"/>
      <c r="D47" s="118"/>
      <c r="E47" s="118"/>
      <c r="F47" s="118"/>
      <c r="G47" s="118"/>
      <c r="H47" s="118"/>
      <c r="J47" s="118"/>
    </row>
    <row r="48" spans="2:10" ht="13.5">
      <c r="B48" s="118"/>
      <c r="C48" s="118"/>
      <c r="D48" s="118"/>
      <c r="E48" s="118"/>
      <c r="F48" s="118"/>
      <c r="G48" s="118"/>
      <c r="H48" s="118"/>
      <c r="J48" s="118"/>
    </row>
    <row r="49" spans="2:10" ht="13.5">
      <c r="B49" s="118"/>
      <c r="C49" s="118"/>
      <c r="D49" s="118"/>
      <c r="E49" s="118"/>
      <c r="F49" s="118"/>
      <c r="G49" s="118"/>
      <c r="H49" s="118"/>
      <c r="J49" s="118"/>
    </row>
    <row r="50" spans="2:10" ht="13.5">
      <c r="B50" s="118"/>
      <c r="C50" s="118"/>
      <c r="D50" s="118"/>
      <c r="E50" s="118"/>
      <c r="F50" s="118"/>
      <c r="G50" s="118"/>
      <c r="H50" s="118"/>
      <c r="J50" s="118"/>
    </row>
    <row r="51" spans="2:10" ht="13.5">
      <c r="B51" s="118"/>
      <c r="C51" s="118"/>
      <c r="D51" s="118"/>
      <c r="E51" s="118"/>
      <c r="F51" s="118"/>
      <c r="G51" s="118"/>
      <c r="H51" s="118"/>
      <c r="J51" s="118"/>
    </row>
    <row r="52" spans="2:10" ht="13.5">
      <c r="B52" s="118"/>
      <c r="C52" s="118"/>
      <c r="D52" s="118"/>
      <c r="E52" s="118"/>
      <c r="F52" s="118"/>
      <c r="G52" s="118"/>
      <c r="H52" s="118"/>
      <c r="J52" s="118"/>
    </row>
    <row r="53" spans="2:10" ht="13.5">
      <c r="B53" s="118"/>
      <c r="C53" s="118"/>
      <c r="D53" s="118"/>
      <c r="E53" s="118"/>
      <c r="F53" s="118"/>
      <c r="G53" s="118"/>
      <c r="H53" s="118"/>
      <c r="J53" s="118"/>
    </row>
    <row r="54" spans="2:10" ht="13.5">
      <c r="B54" s="118"/>
      <c r="C54" s="118"/>
      <c r="D54" s="118"/>
      <c r="E54" s="118"/>
      <c r="F54" s="118"/>
      <c r="G54" s="118"/>
      <c r="H54" s="118"/>
      <c r="J54" s="118"/>
    </row>
    <row r="55" spans="2:10" ht="13.5">
      <c r="B55" s="118"/>
      <c r="C55" s="118"/>
      <c r="D55" s="118"/>
      <c r="E55" s="118"/>
      <c r="F55" s="118"/>
      <c r="G55" s="118"/>
      <c r="H55" s="118"/>
      <c r="J55" s="118"/>
    </row>
    <row r="56" spans="2:10" ht="13.5">
      <c r="B56" s="118"/>
      <c r="C56" s="118"/>
      <c r="D56" s="118"/>
      <c r="E56" s="118"/>
      <c r="F56" s="118"/>
      <c r="G56" s="118"/>
      <c r="H56" s="118"/>
      <c r="J56" s="118"/>
    </row>
  </sheetData>
  <sheetProtection/>
  <mergeCells count="11">
    <mergeCell ref="L3:M4"/>
    <mergeCell ref="N3:N5"/>
    <mergeCell ref="B4:C4"/>
    <mergeCell ref="D4:E4"/>
    <mergeCell ref="F4:G4"/>
    <mergeCell ref="A42:I42"/>
    <mergeCell ref="A2:G2"/>
    <mergeCell ref="A3:A5"/>
    <mergeCell ref="B3:G3"/>
    <mergeCell ref="H3:I4"/>
    <mergeCell ref="J3:K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9" r:id="rId1"/>
  <headerFooter>
    <oddFooter>&amp;R&amp;K01+000高松国税局
消費税
(R03)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2"/>
  <sheetViews>
    <sheetView zoomScaleSheetLayoutView="98" workbookViewId="0" topLeftCell="A1">
      <selection activeCell="A1" sqref="A1:H1"/>
    </sheetView>
  </sheetViews>
  <sheetFormatPr defaultColWidth="9.00390625" defaultRowHeight="13.5"/>
  <cols>
    <col min="1" max="1" width="11.125" style="98" customWidth="1"/>
    <col min="2" max="2" width="10.625" style="98" customWidth="1"/>
    <col min="3" max="3" width="12.625" style="98" customWidth="1"/>
    <col min="4" max="4" width="10.625" style="98" customWidth="1"/>
    <col min="5" max="5" width="12.625" style="98" customWidth="1"/>
    <col min="6" max="6" width="10.625" style="98" customWidth="1"/>
    <col min="7" max="7" width="12.625" style="98" customWidth="1"/>
    <col min="8" max="8" width="10.625" style="98" customWidth="1"/>
    <col min="9" max="9" width="12.625" style="98" customWidth="1"/>
    <col min="10" max="10" width="10.625" style="98" customWidth="1"/>
    <col min="11" max="11" width="12.625" style="98" customWidth="1"/>
    <col min="12" max="12" width="10.625" style="98" customWidth="1"/>
    <col min="13" max="13" width="12.625" style="98" customWidth="1"/>
    <col min="14" max="14" width="11.375" style="98" customWidth="1"/>
    <col min="15" max="16384" width="9.00390625" style="98" customWidth="1"/>
  </cols>
  <sheetData>
    <row r="1" spans="1:13" ht="13.5">
      <c r="A1" s="51" t="s">
        <v>158</v>
      </c>
      <c r="B1" s="51"/>
      <c r="C1" s="51"/>
      <c r="D1" s="51"/>
      <c r="E1" s="51"/>
      <c r="F1" s="51"/>
      <c r="G1" s="51"/>
      <c r="H1" s="51"/>
      <c r="I1" s="51"/>
      <c r="J1" s="51"/>
      <c r="K1" s="51"/>
      <c r="L1" s="52"/>
      <c r="M1" s="52"/>
    </row>
    <row r="2" spans="1:13" ht="14.25" thickBot="1">
      <c r="A2" s="219" t="s">
        <v>99</v>
      </c>
      <c r="B2" s="219"/>
      <c r="C2" s="219"/>
      <c r="D2" s="219"/>
      <c r="E2" s="219"/>
      <c r="F2" s="219"/>
      <c r="G2" s="219"/>
      <c r="H2" s="219"/>
      <c r="I2" s="219"/>
      <c r="J2" s="78"/>
      <c r="K2" s="78"/>
      <c r="L2" s="52"/>
      <c r="M2" s="52"/>
    </row>
    <row r="3" spans="1:14" ht="19.5" customHeight="1">
      <c r="A3" s="211" t="s">
        <v>24</v>
      </c>
      <c r="B3" s="214" t="s">
        <v>25</v>
      </c>
      <c r="C3" s="214"/>
      <c r="D3" s="214"/>
      <c r="E3" s="214"/>
      <c r="F3" s="214"/>
      <c r="G3" s="214"/>
      <c r="H3" s="215" t="s">
        <v>11</v>
      </c>
      <c r="I3" s="216"/>
      <c r="J3" s="218" t="s">
        <v>26</v>
      </c>
      <c r="K3" s="216"/>
      <c r="L3" s="215" t="s">
        <v>27</v>
      </c>
      <c r="M3" s="216"/>
      <c r="N3" s="203" t="s">
        <v>100</v>
      </c>
    </row>
    <row r="4" spans="1:14" ht="17.25" customHeight="1">
      <c r="A4" s="212"/>
      <c r="B4" s="207" t="s">
        <v>13</v>
      </c>
      <c r="C4" s="208"/>
      <c r="D4" s="207" t="s">
        <v>29</v>
      </c>
      <c r="E4" s="208"/>
      <c r="F4" s="207" t="s">
        <v>30</v>
      </c>
      <c r="G4" s="208"/>
      <c r="H4" s="207"/>
      <c r="I4" s="217"/>
      <c r="J4" s="207"/>
      <c r="K4" s="217"/>
      <c r="L4" s="207"/>
      <c r="M4" s="217"/>
      <c r="N4" s="204"/>
    </row>
    <row r="5" spans="1:14" ht="28.5" customHeight="1">
      <c r="A5" s="213"/>
      <c r="B5" s="53" t="s">
        <v>31</v>
      </c>
      <c r="C5" s="54" t="s">
        <v>32</v>
      </c>
      <c r="D5" s="53" t="s">
        <v>31</v>
      </c>
      <c r="E5" s="54" t="s">
        <v>32</v>
      </c>
      <c r="F5" s="53" t="s">
        <v>31</v>
      </c>
      <c r="G5" s="55" t="s">
        <v>33</v>
      </c>
      <c r="H5" s="53" t="s">
        <v>31</v>
      </c>
      <c r="I5" s="56" t="s">
        <v>34</v>
      </c>
      <c r="J5" s="53" t="s">
        <v>31</v>
      </c>
      <c r="K5" s="56" t="s">
        <v>35</v>
      </c>
      <c r="L5" s="53" t="s">
        <v>31</v>
      </c>
      <c r="M5" s="57" t="s">
        <v>36</v>
      </c>
      <c r="N5" s="205"/>
    </row>
    <row r="6" spans="1:14" s="79" customFormat="1" ht="10.5">
      <c r="A6" s="58"/>
      <c r="B6" s="59" t="s">
        <v>3</v>
      </c>
      <c r="C6" s="60" t="s">
        <v>4</v>
      </c>
      <c r="D6" s="59" t="s">
        <v>3</v>
      </c>
      <c r="E6" s="60" t="s">
        <v>4</v>
      </c>
      <c r="F6" s="59" t="s">
        <v>3</v>
      </c>
      <c r="G6" s="60" t="s">
        <v>4</v>
      </c>
      <c r="H6" s="59" t="s">
        <v>3</v>
      </c>
      <c r="I6" s="61" t="s">
        <v>4</v>
      </c>
      <c r="J6" s="59" t="s">
        <v>3</v>
      </c>
      <c r="K6" s="61" t="s">
        <v>4</v>
      </c>
      <c r="L6" s="59" t="s">
        <v>156</v>
      </c>
      <c r="M6" s="61" t="s">
        <v>4</v>
      </c>
      <c r="N6" s="62"/>
    </row>
    <row r="7" spans="1:14" ht="15.75" customHeight="1">
      <c r="A7" s="64" t="s">
        <v>101</v>
      </c>
      <c r="B7" s="99">
        <f>_xlfn.COMPOUNDVALUE(105)</f>
        <v>3994</v>
      </c>
      <c r="C7" s="100">
        <v>31276459</v>
      </c>
      <c r="D7" s="99">
        <f>_xlfn.COMPOUNDVALUE(106)</f>
        <v>1516</v>
      </c>
      <c r="E7" s="100">
        <v>1109583</v>
      </c>
      <c r="F7" s="99">
        <f>_xlfn.COMPOUNDVALUE(107)</f>
        <v>5510</v>
      </c>
      <c r="G7" s="100">
        <v>32386043</v>
      </c>
      <c r="H7" s="99">
        <f>_xlfn.COMPOUNDVALUE(108)</f>
        <v>333</v>
      </c>
      <c r="I7" s="101">
        <v>1315601</v>
      </c>
      <c r="J7" s="99">
        <v>243</v>
      </c>
      <c r="K7" s="101">
        <v>22078</v>
      </c>
      <c r="L7" s="99">
        <v>5866</v>
      </c>
      <c r="M7" s="101">
        <v>31092519</v>
      </c>
      <c r="N7" s="81" t="s">
        <v>38</v>
      </c>
    </row>
    <row r="8" spans="1:14" ht="15.75" customHeight="1">
      <c r="A8" s="67" t="s">
        <v>102</v>
      </c>
      <c r="B8" s="102">
        <f>_xlfn.COMPOUNDVALUE(109)</f>
        <v>1281</v>
      </c>
      <c r="C8" s="103">
        <v>10768810</v>
      </c>
      <c r="D8" s="102">
        <f>_xlfn.COMPOUNDVALUE(110)</f>
        <v>550</v>
      </c>
      <c r="E8" s="103">
        <v>378221</v>
      </c>
      <c r="F8" s="102">
        <f>_xlfn.COMPOUNDVALUE(111)</f>
        <v>1831</v>
      </c>
      <c r="G8" s="103">
        <v>11147031</v>
      </c>
      <c r="H8" s="102">
        <f>_xlfn.COMPOUNDVALUE(112)</f>
        <v>115</v>
      </c>
      <c r="I8" s="104">
        <v>984313</v>
      </c>
      <c r="J8" s="102">
        <v>148</v>
      </c>
      <c r="K8" s="104">
        <v>19575</v>
      </c>
      <c r="L8" s="102">
        <v>1960</v>
      </c>
      <c r="M8" s="104">
        <v>10182294</v>
      </c>
      <c r="N8" s="68" t="s">
        <v>40</v>
      </c>
    </row>
    <row r="9" spans="1:14" ht="15.75" customHeight="1">
      <c r="A9" s="67" t="s">
        <v>103</v>
      </c>
      <c r="B9" s="102">
        <f>_xlfn.COMPOUNDVALUE(113)</f>
        <v>856</v>
      </c>
      <c r="C9" s="103">
        <v>4685644</v>
      </c>
      <c r="D9" s="102">
        <f>_xlfn.COMPOUNDVALUE(114)</f>
        <v>330</v>
      </c>
      <c r="E9" s="103">
        <v>225769</v>
      </c>
      <c r="F9" s="102">
        <f>_xlfn.COMPOUNDVALUE(115)</f>
        <v>1186</v>
      </c>
      <c r="G9" s="103">
        <v>4911412</v>
      </c>
      <c r="H9" s="102">
        <f>_xlfn.COMPOUNDVALUE(116)</f>
        <v>106</v>
      </c>
      <c r="I9" s="104">
        <v>20174370</v>
      </c>
      <c r="J9" s="102">
        <v>122</v>
      </c>
      <c r="K9" s="104">
        <v>38606</v>
      </c>
      <c r="L9" s="102">
        <v>1307</v>
      </c>
      <c r="M9" s="104">
        <v>-15224352</v>
      </c>
      <c r="N9" s="68" t="s">
        <v>42</v>
      </c>
    </row>
    <row r="10" spans="1:14" ht="15.75" customHeight="1">
      <c r="A10" s="67" t="s">
        <v>104</v>
      </c>
      <c r="B10" s="102">
        <f>_xlfn.COMPOUNDVALUE(117)</f>
        <v>627</v>
      </c>
      <c r="C10" s="103">
        <v>2664996</v>
      </c>
      <c r="D10" s="102">
        <f>_xlfn.COMPOUNDVALUE(118)</f>
        <v>320</v>
      </c>
      <c r="E10" s="103">
        <v>221214</v>
      </c>
      <c r="F10" s="102">
        <f>_xlfn.COMPOUNDVALUE(119)</f>
        <v>947</v>
      </c>
      <c r="G10" s="103">
        <v>2886210</v>
      </c>
      <c r="H10" s="102">
        <f>_xlfn.COMPOUNDVALUE(120)</f>
        <v>75</v>
      </c>
      <c r="I10" s="104">
        <v>169453</v>
      </c>
      <c r="J10" s="102">
        <v>75</v>
      </c>
      <c r="K10" s="104">
        <v>25086</v>
      </c>
      <c r="L10" s="102">
        <v>1037</v>
      </c>
      <c r="M10" s="104">
        <v>2741844</v>
      </c>
      <c r="N10" s="68" t="s">
        <v>44</v>
      </c>
    </row>
    <row r="11" spans="1:14" ht="15.75" customHeight="1">
      <c r="A11" s="67" t="s">
        <v>105</v>
      </c>
      <c r="B11" s="102">
        <f>_xlfn.COMPOUNDVALUE(121)</f>
        <v>334</v>
      </c>
      <c r="C11" s="103">
        <v>1933906</v>
      </c>
      <c r="D11" s="102">
        <f>_xlfn.COMPOUNDVALUE(122)</f>
        <v>161</v>
      </c>
      <c r="E11" s="103">
        <v>111051</v>
      </c>
      <c r="F11" s="102">
        <f>_xlfn.COMPOUNDVALUE(123)</f>
        <v>495</v>
      </c>
      <c r="G11" s="103">
        <v>2044957</v>
      </c>
      <c r="H11" s="102">
        <f>_xlfn.COMPOUNDVALUE(124)</f>
        <v>25</v>
      </c>
      <c r="I11" s="104">
        <v>95786</v>
      </c>
      <c r="J11" s="102">
        <v>20</v>
      </c>
      <c r="K11" s="104">
        <v>451</v>
      </c>
      <c r="L11" s="102">
        <v>522</v>
      </c>
      <c r="M11" s="104">
        <v>1949622</v>
      </c>
      <c r="N11" s="68" t="s">
        <v>46</v>
      </c>
    </row>
    <row r="12" spans="1:14" ht="15.75" customHeight="1">
      <c r="A12" s="67" t="s">
        <v>106</v>
      </c>
      <c r="B12" s="102">
        <f>_xlfn.COMPOUNDVALUE(125)</f>
        <v>365</v>
      </c>
      <c r="C12" s="103">
        <v>1765509</v>
      </c>
      <c r="D12" s="102">
        <f>_xlfn.COMPOUNDVALUE(126)</f>
        <v>167</v>
      </c>
      <c r="E12" s="103">
        <v>114939</v>
      </c>
      <c r="F12" s="102">
        <f>_xlfn.COMPOUNDVALUE(127)</f>
        <v>532</v>
      </c>
      <c r="G12" s="103">
        <v>1880448</v>
      </c>
      <c r="H12" s="102">
        <f>_xlfn.COMPOUNDVALUE(128)</f>
        <v>35</v>
      </c>
      <c r="I12" s="104">
        <v>68496</v>
      </c>
      <c r="J12" s="102">
        <v>35</v>
      </c>
      <c r="K12" s="104">
        <v>10755</v>
      </c>
      <c r="L12" s="102">
        <v>572</v>
      </c>
      <c r="M12" s="104">
        <v>1822707</v>
      </c>
      <c r="N12" s="68" t="s">
        <v>48</v>
      </c>
    </row>
    <row r="13" spans="1:14" ht="15.75" customHeight="1">
      <c r="A13" s="69" t="s">
        <v>107</v>
      </c>
      <c r="B13" s="105">
        <v>7457</v>
      </c>
      <c r="C13" s="106">
        <v>53095324</v>
      </c>
      <c r="D13" s="105">
        <v>3044</v>
      </c>
      <c r="E13" s="106">
        <v>2160777</v>
      </c>
      <c r="F13" s="105">
        <v>10501</v>
      </c>
      <c r="G13" s="106">
        <v>55256101</v>
      </c>
      <c r="H13" s="105">
        <v>689</v>
      </c>
      <c r="I13" s="107">
        <v>22808019</v>
      </c>
      <c r="J13" s="105">
        <v>643</v>
      </c>
      <c r="K13" s="107">
        <v>116552</v>
      </c>
      <c r="L13" s="105">
        <v>11264</v>
      </c>
      <c r="M13" s="107">
        <v>32564633</v>
      </c>
      <c r="N13" s="70" t="s">
        <v>50</v>
      </c>
    </row>
    <row r="14" spans="1:14" ht="15.75" customHeight="1">
      <c r="A14" s="71"/>
      <c r="B14" s="108"/>
      <c r="C14" s="109"/>
      <c r="D14" s="108"/>
      <c r="E14" s="109"/>
      <c r="F14" s="110"/>
      <c r="G14" s="109"/>
      <c r="H14" s="110"/>
      <c r="I14" s="109"/>
      <c r="J14" s="110"/>
      <c r="K14" s="109"/>
      <c r="L14" s="110"/>
      <c r="M14" s="109"/>
      <c r="N14" s="72"/>
    </row>
    <row r="15" spans="1:14" ht="15.75" customHeight="1">
      <c r="A15" s="64" t="s">
        <v>108</v>
      </c>
      <c r="B15" s="99">
        <f>_xlfn.COMPOUNDVALUE(129)</f>
        <v>5287</v>
      </c>
      <c r="C15" s="100">
        <v>60124058</v>
      </c>
      <c r="D15" s="99">
        <f>_xlfn.COMPOUNDVALUE(130)</f>
        <v>2361</v>
      </c>
      <c r="E15" s="100">
        <v>1588821</v>
      </c>
      <c r="F15" s="99">
        <f>_xlfn.COMPOUNDVALUE(131)</f>
        <v>7648</v>
      </c>
      <c r="G15" s="100">
        <v>61712879</v>
      </c>
      <c r="H15" s="99">
        <f>_xlfn.COMPOUNDVALUE(132)</f>
        <v>516</v>
      </c>
      <c r="I15" s="101">
        <v>8131972</v>
      </c>
      <c r="J15" s="99">
        <v>421</v>
      </c>
      <c r="K15" s="101">
        <v>151989</v>
      </c>
      <c r="L15" s="99">
        <v>8198</v>
      </c>
      <c r="M15" s="101">
        <v>53732896</v>
      </c>
      <c r="N15" s="65" t="s">
        <v>52</v>
      </c>
    </row>
    <row r="16" spans="1:14" ht="15.75" customHeight="1">
      <c r="A16" s="67" t="s">
        <v>109</v>
      </c>
      <c r="B16" s="102">
        <f>_xlfn.COMPOUNDVALUE(133)</f>
        <v>1744</v>
      </c>
      <c r="C16" s="103">
        <v>12854522</v>
      </c>
      <c r="D16" s="102">
        <f>_xlfn.COMPOUNDVALUE(134)</f>
        <v>773</v>
      </c>
      <c r="E16" s="103">
        <v>523105</v>
      </c>
      <c r="F16" s="102">
        <f>_xlfn.COMPOUNDVALUE(135)</f>
        <v>2517</v>
      </c>
      <c r="G16" s="103">
        <v>13377627</v>
      </c>
      <c r="H16" s="102">
        <f>_xlfn.COMPOUNDVALUE(136)</f>
        <v>183</v>
      </c>
      <c r="I16" s="104">
        <v>515141</v>
      </c>
      <c r="J16" s="102">
        <v>61</v>
      </c>
      <c r="K16" s="104">
        <v>17549</v>
      </c>
      <c r="L16" s="102">
        <v>2709</v>
      </c>
      <c r="M16" s="104">
        <v>12880035</v>
      </c>
      <c r="N16" s="68" t="s">
        <v>54</v>
      </c>
    </row>
    <row r="17" spans="1:14" ht="15.75" customHeight="1">
      <c r="A17" s="67" t="s">
        <v>110</v>
      </c>
      <c r="B17" s="102">
        <f>_xlfn.COMPOUNDVALUE(137)</f>
        <v>1025</v>
      </c>
      <c r="C17" s="103">
        <v>6571344</v>
      </c>
      <c r="D17" s="102">
        <f>_xlfn.COMPOUNDVALUE(138)</f>
        <v>367</v>
      </c>
      <c r="E17" s="103">
        <v>248630</v>
      </c>
      <c r="F17" s="102">
        <f>_xlfn.COMPOUNDVALUE(139)</f>
        <v>1392</v>
      </c>
      <c r="G17" s="103">
        <v>6819974</v>
      </c>
      <c r="H17" s="102">
        <f>_xlfn.COMPOUNDVALUE(140)</f>
        <v>99</v>
      </c>
      <c r="I17" s="104">
        <v>154114</v>
      </c>
      <c r="J17" s="102">
        <v>94</v>
      </c>
      <c r="K17" s="104">
        <v>578</v>
      </c>
      <c r="L17" s="102">
        <v>1495</v>
      </c>
      <c r="M17" s="104">
        <v>6666438</v>
      </c>
      <c r="N17" s="68" t="s">
        <v>56</v>
      </c>
    </row>
    <row r="18" spans="1:14" ht="15.75" customHeight="1">
      <c r="A18" s="67" t="s">
        <v>111</v>
      </c>
      <c r="B18" s="102">
        <f>_xlfn.COMPOUNDVALUE(141)</f>
        <v>1222</v>
      </c>
      <c r="C18" s="103">
        <v>9713600</v>
      </c>
      <c r="D18" s="102">
        <f>_xlfn.COMPOUNDVALUE(142)</f>
        <v>464</v>
      </c>
      <c r="E18" s="103">
        <v>335000</v>
      </c>
      <c r="F18" s="102">
        <f>_xlfn.COMPOUNDVALUE(143)</f>
        <v>1686</v>
      </c>
      <c r="G18" s="103">
        <v>10048599</v>
      </c>
      <c r="H18" s="102">
        <f>_xlfn.COMPOUNDVALUE(144)</f>
        <v>133</v>
      </c>
      <c r="I18" s="104">
        <v>484151</v>
      </c>
      <c r="J18" s="102">
        <v>111</v>
      </c>
      <c r="K18" s="104">
        <v>-527</v>
      </c>
      <c r="L18" s="102">
        <v>1825</v>
      </c>
      <c r="M18" s="104">
        <v>9563921</v>
      </c>
      <c r="N18" s="68" t="s">
        <v>58</v>
      </c>
    </row>
    <row r="19" spans="1:14" ht="15.75" customHeight="1">
      <c r="A19" s="67" t="s">
        <v>133</v>
      </c>
      <c r="B19" s="102">
        <f>_xlfn.COMPOUNDVALUE(145)</f>
        <v>668</v>
      </c>
      <c r="C19" s="103">
        <v>4396798</v>
      </c>
      <c r="D19" s="102">
        <f>_xlfn.COMPOUNDVALUE(146)</f>
        <v>279</v>
      </c>
      <c r="E19" s="103">
        <v>184710</v>
      </c>
      <c r="F19" s="102">
        <f>_xlfn.COMPOUNDVALUE(147)</f>
        <v>947</v>
      </c>
      <c r="G19" s="103">
        <v>4581507</v>
      </c>
      <c r="H19" s="102">
        <f>_xlfn.COMPOUNDVALUE(148)</f>
        <v>94</v>
      </c>
      <c r="I19" s="104">
        <v>195611</v>
      </c>
      <c r="J19" s="102">
        <v>44</v>
      </c>
      <c r="K19" s="104">
        <v>10381</v>
      </c>
      <c r="L19" s="102">
        <v>1050</v>
      </c>
      <c r="M19" s="104">
        <v>4396277</v>
      </c>
      <c r="N19" s="68" t="s">
        <v>60</v>
      </c>
    </row>
    <row r="20" spans="1:14" ht="15.75" customHeight="1">
      <c r="A20" s="67" t="s">
        <v>134</v>
      </c>
      <c r="B20" s="102">
        <f>_xlfn.COMPOUNDVALUE(149)</f>
        <v>381</v>
      </c>
      <c r="C20" s="103">
        <v>1731869</v>
      </c>
      <c r="D20" s="102">
        <f>_xlfn.COMPOUNDVALUE(150)</f>
        <v>159</v>
      </c>
      <c r="E20" s="103">
        <v>90700</v>
      </c>
      <c r="F20" s="102">
        <f>_xlfn.COMPOUNDVALUE(151)</f>
        <v>540</v>
      </c>
      <c r="G20" s="103">
        <v>1822569</v>
      </c>
      <c r="H20" s="102">
        <f>_xlfn.COMPOUNDVALUE(152)</f>
        <v>40</v>
      </c>
      <c r="I20" s="104">
        <v>130114</v>
      </c>
      <c r="J20" s="102">
        <v>16</v>
      </c>
      <c r="K20" s="104">
        <v>150</v>
      </c>
      <c r="L20" s="102">
        <v>582</v>
      </c>
      <c r="M20" s="104">
        <v>1692605</v>
      </c>
      <c r="N20" s="68" t="s">
        <v>62</v>
      </c>
    </row>
    <row r="21" spans="1:14" ht="15.75" customHeight="1">
      <c r="A21" s="69" t="s">
        <v>135</v>
      </c>
      <c r="B21" s="105">
        <v>10327</v>
      </c>
      <c r="C21" s="106">
        <v>95392190</v>
      </c>
      <c r="D21" s="105">
        <v>4403</v>
      </c>
      <c r="E21" s="106">
        <v>2970965</v>
      </c>
      <c r="F21" s="105">
        <v>14730</v>
      </c>
      <c r="G21" s="106">
        <v>98363155</v>
      </c>
      <c r="H21" s="105">
        <v>1065</v>
      </c>
      <c r="I21" s="107">
        <v>9611103</v>
      </c>
      <c r="J21" s="105">
        <v>747</v>
      </c>
      <c r="K21" s="107">
        <v>180121</v>
      </c>
      <c r="L21" s="105">
        <v>15859</v>
      </c>
      <c r="M21" s="107">
        <v>88932173</v>
      </c>
      <c r="N21" s="70" t="s">
        <v>64</v>
      </c>
    </row>
    <row r="22" spans="1:14" ht="15.75" customHeight="1">
      <c r="A22" s="71"/>
      <c r="B22" s="108"/>
      <c r="C22" s="109"/>
      <c r="D22" s="108"/>
      <c r="E22" s="109"/>
      <c r="F22" s="110"/>
      <c r="G22" s="109"/>
      <c r="H22" s="110"/>
      <c r="I22" s="109"/>
      <c r="J22" s="110"/>
      <c r="K22" s="109"/>
      <c r="L22" s="110"/>
      <c r="M22" s="109"/>
      <c r="N22" s="72"/>
    </row>
    <row r="23" spans="1:14" ht="15.75" customHeight="1">
      <c r="A23" s="64" t="s">
        <v>136</v>
      </c>
      <c r="B23" s="99">
        <f>_xlfn.COMPOUNDVALUE(153)</f>
        <v>6273</v>
      </c>
      <c r="C23" s="100">
        <v>52528197</v>
      </c>
      <c r="D23" s="99">
        <f>_xlfn.COMPOUNDVALUE(154)</f>
        <v>2580</v>
      </c>
      <c r="E23" s="100">
        <v>1856293</v>
      </c>
      <c r="F23" s="99">
        <f>_xlfn.COMPOUNDVALUE(155)</f>
        <v>8853</v>
      </c>
      <c r="G23" s="100">
        <v>54384490</v>
      </c>
      <c r="H23" s="99">
        <f>_xlfn.COMPOUNDVALUE(156)</f>
        <v>613</v>
      </c>
      <c r="I23" s="101">
        <v>3470021</v>
      </c>
      <c r="J23" s="99">
        <v>407</v>
      </c>
      <c r="K23" s="101">
        <v>-119921</v>
      </c>
      <c r="L23" s="99">
        <v>9512</v>
      </c>
      <c r="M23" s="101">
        <v>50794548</v>
      </c>
      <c r="N23" s="65" t="s">
        <v>66</v>
      </c>
    </row>
    <row r="24" spans="1:14" ht="15.75" customHeight="1">
      <c r="A24" s="67" t="s">
        <v>137</v>
      </c>
      <c r="B24" s="102">
        <f>_xlfn.COMPOUNDVALUE(157)</f>
        <v>1972</v>
      </c>
      <c r="C24" s="103">
        <v>18171973</v>
      </c>
      <c r="D24" s="102">
        <f>_xlfn.COMPOUNDVALUE(158)</f>
        <v>819</v>
      </c>
      <c r="E24" s="103">
        <v>584984</v>
      </c>
      <c r="F24" s="102">
        <f>_xlfn.COMPOUNDVALUE(159)</f>
        <v>2791</v>
      </c>
      <c r="G24" s="103">
        <v>18756958</v>
      </c>
      <c r="H24" s="102">
        <f>_xlfn.COMPOUNDVALUE(160)</f>
        <v>295</v>
      </c>
      <c r="I24" s="104">
        <v>37992266</v>
      </c>
      <c r="J24" s="102">
        <v>140</v>
      </c>
      <c r="K24" s="104">
        <v>50512</v>
      </c>
      <c r="L24" s="102">
        <v>3103</v>
      </c>
      <c r="M24" s="104">
        <v>-19184796</v>
      </c>
      <c r="N24" s="68" t="s">
        <v>68</v>
      </c>
    </row>
    <row r="25" spans="1:14" ht="15.75" customHeight="1">
      <c r="A25" s="67" t="s">
        <v>138</v>
      </c>
      <c r="B25" s="102">
        <f>_xlfn.COMPOUNDVALUE(161)</f>
        <v>944</v>
      </c>
      <c r="C25" s="103">
        <v>4649325</v>
      </c>
      <c r="D25" s="102">
        <f>_xlfn.COMPOUNDVALUE(162)</f>
        <v>410</v>
      </c>
      <c r="E25" s="103">
        <v>265329</v>
      </c>
      <c r="F25" s="102">
        <f>_xlfn.COMPOUNDVALUE(163)</f>
        <v>1354</v>
      </c>
      <c r="G25" s="103">
        <v>4914653</v>
      </c>
      <c r="H25" s="102">
        <f>_xlfn.COMPOUNDVALUE(164)</f>
        <v>159</v>
      </c>
      <c r="I25" s="104">
        <v>1034666</v>
      </c>
      <c r="J25" s="102">
        <v>76</v>
      </c>
      <c r="K25" s="104">
        <v>1891</v>
      </c>
      <c r="L25" s="102">
        <v>1524</v>
      </c>
      <c r="M25" s="104">
        <v>3881878</v>
      </c>
      <c r="N25" s="68" t="s">
        <v>70</v>
      </c>
    </row>
    <row r="26" spans="1:14" ht="15.75" customHeight="1">
      <c r="A26" s="67" t="s">
        <v>139</v>
      </c>
      <c r="B26" s="102">
        <f>_xlfn.COMPOUNDVALUE(165)</f>
        <v>675</v>
      </c>
      <c r="C26" s="103">
        <v>3968510</v>
      </c>
      <c r="D26" s="102">
        <f>_xlfn.COMPOUNDVALUE(166)</f>
        <v>349</v>
      </c>
      <c r="E26" s="103">
        <v>210082</v>
      </c>
      <c r="F26" s="102">
        <f>_xlfn.COMPOUNDVALUE(167)</f>
        <v>1024</v>
      </c>
      <c r="G26" s="103">
        <v>4178592</v>
      </c>
      <c r="H26" s="102">
        <f>_xlfn.COMPOUNDVALUE(168)</f>
        <v>80</v>
      </c>
      <c r="I26" s="104">
        <v>295980</v>
      </c>
      <c r="J26" s="102">
        <v>42</v>
      </c>
      <c r="K26" s="104">
        <v>2946</v>
      </c>
      <c r="L26" s="102">
        <v>1107</v>
      </c>
      <c r="M26" s="104">
        <v>3885558</v>
      </c>
      <c r="N26" s="68" t="s">
        <v>72</v>
      </c>
    </row>
    <row r="27" spans="1:14" ht="15.75" customHeight="1">
      <c r="A27" s="67" t="s">
        <v>140</v>
      </c>
      <c r="B27" s="102">
        <f>_xlfn.COMPOUNDVALUE(169)</f>
        <v>1128</v>
      </c>
      <c r="C27" s="103">
        <v>11421031</v>
      </c>
      <c r="D27" s="102">
        <f>_xlfn.COMPOUNDVALUE(170)</f>
        <v>478</v>
      </c>
      <c r="E27" s="103">
        <v>363372</v>
      </c>
      <c r="F27" s="102">
        <f>_xlfn.COMPOUNDVALUE(171)</f>
        <v>1606</v>
      </c>
      <c r="G27" s="103">
        <v>11784403</v>
      </c>
      <c r="H27" s="102">
        <f>_xlfn.COMPOUNDVALUE(172)</f>
        <v>49</v>
      </c>
      <c r="I27" s="104">
        <v>3109855</v>
      </c>
      <c r="J27" s="102">
        <v>81</v>
      </c>
      <c r="K27" s="104">
        <v>33710</v>
      </c>
      <c r="L27" s="102">
        <v>1669</v>
      </c>
      <c r="M27" s="104">
        <v>8708258</v>
      </c>
      <c r="N27" s="68" t="s">
        <v>74</v>
      </c>
    </row>
    <row r="28" spans="1:14" ht="15.75" customHeight="1">
      <c r="A28" s="67" t="s">
        <v>141</v>
      </c>
      <c r="B28" s="102">
        <f>_xlfn.COMPOUNDVALUE(173)</f>
        <v>953</v>
      </c>
      <c r="C28" s="103">
        <v>6256635</v>
      </c>
      <c r="D28" s="102">
        <f>_xlfn.COMPOUNDVALUE(174)</f>
        <v>496</v>
      </c>
      <c r="E28" s="103">
        <v>340304</v>
      </c>
      <c r="F28" s="102">
        <f>_xlfn.COMPOUNDVALUE(175)</f>
        <v>1449</v>
      </c>
      <c r="G28" s="103">
        <v>6596939</v>
      </c>
      <c r="H28" s="102">
        <f>_xlfn.COMPOUNDVALUE(176)</f>
        <v>102</v>
      </c>
      <c r="I28" s="104">
        <v>590054</v>
      </c>
      <c r="J28" s="102">
        <v>13</v>
      </c>
      <c r="K28" s="104">
        <v>386</v>
      </c>
      <c r="L28" s="102">
        <v>1555</v>
      </c>
      <c r="M28" s="104">
        <v>6007271</v>
      </c>
      <c r="N28" s="68" t="s">
        <v>76</v>
      </c>
    </row>
    <row r="29" spans="1:14" ht="15.75" customHeight="1">
      <c r="A29" s="67" t="s">
        <v>142</v>
      </c>
      <c r="B29" s="102">
        <f>_xlfn.COMPOUNDVALUE(177)</f>
        <v>541</v>
      </c>
      <c r="C29" s="103">
        <v>3622149</v>
      </c>
      <c r="D29" s="102">
        <f>_xlfn.COMPOUNDVALUE(178)</f>
        <v>231</v>
      </c>
      <c r="E29" s="103">
        <v>157900</v>
      </c>
      <c r="F29" s="102">
        <f>_xlfn.COMPOUNDVALUE(179)</f>
        <v>772</v>
      </c>
      <c r="G29" s="103">
        <v>3780049</v>
      </c>
      <c r="H29" s="102">
        <f>_xlfn.COMPOUNDVALUE(180)</f>
        <v>31</v>
      </c>
      <c r="I29" s="104">
        <v>67342</v>
      </c>
      <c r="J29" s="102">
        <v>26</v>
      </c>
      <c r="K29" s="104">
        <v>523</v>
      </c>
      <c r="L29" s="102">
        <v>808</v>
      </c>
      <c r="M29" s="104">
        <v>3713230</v>
      </c>
      <c r="N29" s="68" t="s">
        <v>78</v>
      </c>
    </row>
    <row r="30" spans="1:14" ht="15.75" customHeight="1">
      <c r="A30" s="67" t="s">
        <v>143</v>
      </c>
      <c r="B30" s="102">
        <f>_xlfn.COMPOUNDVALUE(181)</f>
        <v>1014</v>
      </c>
      <c r="C30" s="103">
        <v>20762463</v>
      </c>
      <c r="D30" s="102">
        <f>_xlfn.COMPOUNDVALUE(182)</f>
        <v>393</v>
      </c>
      <c r="E30" s="103">
        <v>254816</v>
      </c>
      <c r="F30" s="102">
        <f>_xlfn.COMPOUNDVALUE(183)</f>
        <v>1407</v>
      </c>
      <c r="G30" s="103">
        <v>21017278</v>
      </c>
      <c r="H30" s="102">
        <f>_xlfn.COMPOUNDVALUE(184)</f>
        <v>82</v>
      </c>
      <c r="I30" s="104">
        <v>935717</v>
      </c>
      <c r="J30" s="102">
        <v>83</v>
      </c>
      <c r="K30" s="104">
        <v>15513</v>
      </c>
      <c r="L30" s="102">
        <v>1490</v>
      </c>
      <c r="M30" s="104">
        <v>20097075</v>
      </c>
      <c r="N30" s="68" t="s">
        <v>80</v>
      </c>
    </row>
    <row r="31" spans="1:14" ht="15.75" customHeight="1">
      <c r="A31" s="69" t="s">
        <v>144</v>
      </c>
      <c r="B31" s="105">
        <v>13500</v>
      </c>
      <c r="C31" s="106">
        <v>121380281</v>
      </c>
      <c r="D31" s="105">
        <v>5756</v>
      </c>
      <c r="E31" s="106">
        <v>4033080</v>
      </c>
      <c r="F31" s="105">
        <v>19256</v>
      </c>
      <c r="G31" s="106">
        <v>125413361</v>
      </c>
      <c r="H31" s="105">
        <v>1411</v>
      </c>
      <c r="I31" s="107">
        <v>47495902</v>
      </c>
      <c r="J31" s="105">
        <v>868</v>
      </c>
      <c r="K31" s="107">
        <v>-14439</v>
      </c>
      <c r="L31" s="105">
        <v>20768</v>
      </c>
      <c r="M31" s="107">
        <v>77903021</v>
      </c>
      <c r="N31" s="70" t="s">
        <v>82</v>
      </c>
    </row>
    <row r="32" spans="1:14" ht="15.75" customHeight="1">
      <c r="A32" s="71"/>
      <c r="B32" s="108"/>
      <c r="C32" s="109"/>
      <c r="D32" s="108"/>
      <c r="E32" s="109"/>
      <c r="F32" s="110"/>
      <c r="G32" s="109"/>
      <c r="H32" s="110"/>
      <c r="I32" s="109"/>
      <c r="J32" s="110"/>
      <c r="K32" s="109"/>
      <c r="L32" s="110"/>
      <c r="M32" s="109"/>
      <c r="N32" s="72"/>
    </row>
    <row r="33" spans="1:14" ht="15.75" customHeight="1">
      <c r="A33" s="64" t="s">
        <v>145</v>
      </c>
      <c r="B33" s="99">
        <f>_xlfn.COMPOUNDVALUE(185)</f>
        <v>3537</v>
      </c>
      <c r="C33" s="100">
        <v>30386806</v>
      </c>
      <c r="D33" s="99">
        <f>_xlfn.COMPOUNDVALUE(186)</f>
        <v>1337</v>
      </c>
      <c r="E33" s="100">
        <v>975768</v>
      </c>
      <c r="F33" s="99">
        <f>_xlfn.COMPOUNDVALUE(187)</f>
        <v>4874</v>
      </c>
      <c r="G33" s="100">
        <v>31362574</v>
      </c>
      <c r="H33" s="99">
        <f>_xlfn.COMPOUNDVALUE(188)</f>
        <v>246</v>
      </c>
      <c r="I33" s="101">
        <v>1410777</v>
      </c>
      <c r="J33" s="99">
        <v>221</v>
      </c>
      <c r="K33" s="101">
        <v>37735</v>
      </c>
      <c r="L33" s="99">
        <v>5141</v>
      </c>
      <c r="M33" s="101">
        <v>29989531</v>
      </c>
      <c r="N33" s="65" t="s">
        <v>84</v>
      </c>
    </row>
    <row r="34" spans="1:14" ht="15.75" customHeight="1">
      <c r="A34" s="67" t="s">
        <v>146</v>
      </c>
      <c r="B34" s="102">
        <f>_xlfn.COMPOUNDVALUE(189)</f>
        <v>339</v>
      </c>
      <c r="C34" s="103">
        <v>1455167</v>
      </c>
      <c r="D34" s="102">
        <f>_xlfn.COMPOUNDVALUE(190)</f>
        <v>144</v>
      </c>
      <c r="E34" s="103">
        <v>93875</v>
      </c>
      <c r="F34" s="102">
        <f>_xlfn.COMPOUNDVALUE(191)</f>
        <v>483</v>
      </c>
      <c r="G34" s="103">
        <v>1549042</v>
      </c>
      <c r="H34" s="102">
        <f>_xlfn.COMPOUNDVALUE(192)</f>
        <v>43</v>
      </c>
      <c r="I34" s="104">
        <v>94602</v>
      </c>
      <c r="J34" s="102">
        <v>30</v>
      </c>
      <c r="K34" s="104">
        <v>25342</v>
      </c>
      <c r="L34" s="102">
        <v>534</v>
      </c>
      <c r="M34" s="104">
        <v>1479782</v>
      </c>
      <c r="N34" s="68" t="s">
        <v>86</v>
      </c>
    </row>
    <row r="35" spans="1:14" ht="15.75" customHeight="1">
      <c r="A35" s="67" t="s">
        <v>147</v>
      </c>
      <c r="B35" s="102">
        <f>_xlfn.COMPOUNDVALUE(193)</f>
        <v>828</v>
      </c>
      <c r="C35" s="103">
        <v>5884160</v>
      </c>
      <c r="D35" s="102">
        <f>_xlfn.COMPOUNDVALUE(194)</f>
        <v>282</v>
      </c>
      <c r="E35" s="103">
        <v>201994</v>
      </c>
      <c r="F35" s="102">
        <f>_xlfn.COMPOUNDVALUE(195)</f>
        <v>1110</v>
      </c>
      <c r="G35" s="103">
        <v>6086154</v>
      </c>
      <c r="H35" s="102">
        <f>_xlfn.COMPOUNDVALUE(196)</f>
        <v>57</v>
      </c>
      <c r="I35" s="104">
        <v>780521</v>
      </c>
      <c r="J35" s="102">
        <v>55</v>
      </c>
      <c r="K35" s="104">
        <v>13436</v>
      </c>
      <c r="L35" s="102">
        <v>1181</v>
      </c>
      <c r="M35" s="104">
        <v>5319069</v>
      </c>
      <c r="N35" s="68" t="s">
        <v>88</v>
      </c>
    </row>
    <row r="36" spans="1:14" ht="15.75" customHeight="1">
      <c r="A36" s="67" t="s">
        <v>148</v>
      </c>
      <c r="B36" s="102">
        <f>_xlfn.COMPOUNDVALUE(197)</f>
        <v>588</v>
      </c>
      <c r="C36" s="103">
        <v>2663973</v>
      </c>
      <c r="D36" s="102">
        <f>_xlfn.COMPOUNDVALUE(198)</f>
        <v>224</v>
      </c>
      <c r="E36" s="103">
        <v>172672</v>
      </c>
      <c r="F36" s="102">
        <f>_xlfn.COMPOUNDVALUE(199)</f>
        <v>812</v>
      </c>
      <c r="G36" s="103">
        <v>2836645</v>
      </c>
      <c r="H36" s="102">
        <f>_xlfn.COMPOUNDVALUE(200)</f>
        <v>50</v>
      </c>
      <c r="I36" s="104">
        <v>195695</v>
      </c>
      <c r="J36" s="102">
        <v>49</v>
      </c>
      <c r="K36" s="104">
        <v>14682</v>
      </c>
      <c r="L36" s="102">
        <v>864</v>
      </c>
      <c r="M36" s="104">
        <v>2655631</v>
      </c>
      <c r="N36" s="68" t="s">
        <v>90</v>
      </c>
    </row>
    <row r="37" spans="1:14" ht="15.75" customHeight="1">
      <c r="A37" s="67" t="s">
        <v>149</v>
      </c>
      <c r="B37" s="102">
        <f>_xlfn.COMPOUNDVALUE(201)</f>
        <v>673</v>
      </c>
      <c r="C37" s="103">
        <v>3169316</v>
      </c>
      <c r="D37" s="102">
        <f>_xlfn.COMPOUNDVALUE(202)</f>
        <v>260</v>
      </c>
      <c r="E37" s="103">
        <v>211823</v>
      </c>
      <c r="F37" s="102">
        <f>_xlfn.COMPOUNDVALUE(203)</f>
        <v>933</v>
      </c>
      <c r="G37" s="103">
        <v>3381139</v>
      </c>
      <c r="H37" s="102">
        <f>_xlfn.COMPOUNDVALUE(204)</f>
        <v>63</v>
      </c>
      <c r="I37" s="104">
        <v>320346</v>
      </c>
      <c r="J37" s="102">
        <v>79</v>
      </c>
      <c r="K37" s="104">
        <v>-5284</v>
      </c>
      <c r="L37" s="102">
        <v>1012</v>
      </c>
      <c r="M37" s="104">
        <v>3055508</v>
      </c>
      <c r="N37" s="68" t="s">
        <v>92</v>
      </c>
    </row>
    <row r="38" spans="1:14" ht="15.75" customHeight="1">
      <c r="A38" s="67" t="s">
        <v>150</v>
      </c>
      <c r="B38" s="102">
        <f>_xlfn.COMPOUNDVALUE(205)</f>
        <v>461</v>
      </c>
      <c r="C38" s="103">
        <v>2663545</v>
      </c>
      <c r="D38" s="102">
        <f>_xlfn.COMPOUNDVALUE(206)</f>
        <v>186</v>
      </c>
      <c r="E38" s="103">
        <v>139142</v>
      </c>
      <c r="F38" s="102">
        <f>_xlfn.COMPOUNDVALUE(207)</f>
        <v>647</v>
      </c>
      <c r="G38" s="103">
        <v>2802687</v>
      </c>
      <c r="H38" s="102">
        <f>_xlfn.COMPOUNDVALUE(208)</f>
        <v>34</v>
      </c>
      <c r="I38" s="104">
        <v>302908</v>
      </c>
      <c r="J38" s="102">
        <v>32</v>
      </c>
      <c r="K38" s="104">
        <v>4758</v>
      </c>
      <c r="L38" s="102">
        <v>682</v>
      </c>
      <c r="M38" s="104">
        <v>2504537</v>
      </c>
      <c r="N38" s="68" t="s">
        <v>94</v>
      </c>
    </row>
    <row r="39" spans="1:14" ht="15.75" customHeight="1">
      <c r="A39" s="69" t="s">
        <v>151</v>
      </c>
      <c r="B39" s="105">
        <v>6426</v>
      </c>
      <c r="C39" s="106">
        <v>46222966</v>
      </c>
      <c r="D39" s="105">
        <v>2433</v>
      </c>
      <c r="E39" s="106">
        <v>1795273</v>
      </c>
      <c r="F39" s="105">
        <v>8859</v>
      </c>
      <c r="G39" s="106">
        <v>48018239</v>
      </c>
      <c r="H39" s="105">
        <v>493</v>
      </c>
      <c r="I39" s="107">
        <v>3104849</v>
      </c>
      <c r="J39" s="105">
        <v>466</v>
      </c>
      <c r="K39" s="107">
        <v>90668</v>
      </c>
      <c r="L39" s="105">
        <v>9414</v>
      </c>
      <c r="M39" s="107">
        <v>45004059</v>
      </c>
      <c r="N39" s="70" t="s">
        <v>96</v>
      </c>
    </row>
    <row r="40" spans="1:14" ht="15.75" customHeight="1" thickBot="1">
      <c r="A40" s="73"/>
      <c r="B40" s="111"/>
      <c r="C40" s="112"/>
      <c r="D40" s="111"/>
      <c r="E40" s="112"/>
      <c r="F40" s="113"/>
      <c r="G40" s="112"/>
      <c r="H40" s="113"/>
      <c r="I40" s="112"/>
      <c r="J40" s="113"/>
      <c r="K40" s="112"/>
      <c r="L40" s="113"/>
      <c r="M40" s="112"/>
      <c r="N40" s="74"/>
    </row>
    <row r="41" spans="1:14" ht="15.75" customHeight="1" thickBot="1" thickTop="1">
      <c r="A41" s="76" t="s">
        <v>152</v>
      </c>
      <c r="B41" s="114">
        <v>37710</v>
      </c>
      <c r="C41" s="115">
        <v>316090761</v>
      </c>
      <c r="D41" s="114">
        <v>15636</v>
      </c>
      <c r="E41" s="115">
        <v>10960095</v>
      </c>
      <c r="F41" s="114">
        <v>53346</v>
      </c>
      <c r="G41" s="115">
        <v>327050856</v>
      </c>
      <c r="H41" s="114">
        <v>3658</v>
      </c>
      <c r="I41" s="116">
        <v>83019873</v>
      </c>
      <c r="J41" s="114">
        <v>2724</v>
      </c>
      <c r="K41" s="116">
        <v>372903</v>
      </c>
      <c r="L41" s="114">
        <v>57305</v>
      </c>
      <c r="M41" s="116">
        <v>244403886</v>
      </c>
      <c r="N41" s="77" t="s">
        <v>98</v>
      </c>
    </row>
    <row r="42" spans="1:14" ht="13.5">
      <c r="A42" s="209" t="s">
        <v>154</v>
      </c>
      <c r="B42" s="209"/>
      <c r="C42" s="209"/>
      <c r="D42" s="209"/>
      <c r="E42" s="209"/>
      <c r="F42" s="209"/>
      <c r="G42" s="209"/>
      <c r="H42" s="209"/>
      <c r="I42" s="209"/>
      <c r="J42" s="78"/>
      <c r="K42" s="78"/>
      <c r="L42" s="52"/>
      <c r="M42" s="52"/>
      <c r="N42" s="52"/>
    </row>
  </sheetData>
  <sheetProtection/>
  <mergeCells count="11">
    <mergeCell ref="L3:M4"/>
    <mergeCell ref="N3:N5"/>
    <mergeCell ref="B4:C4"/>
    <mergeCell ref="D4:E4"/>
    <mergeCell ref="F4:G4"/>
    <mergeCell ref="A42:I42"/>
    <mergeCell ref="A2:I2"/>
    <mergeCell ref="A3:A5"/>
    <mergeCell ref="B3:G3"/>
    <mergeCell ref="H3:I4"/>
    <mergeCell ref="J3:K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9" r:id="rId1"/>
  <headerFooter>
    <oddFooter>&amp;R&amp;K01+000高松国税局
消費税
(R03)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42"/>
  <sheetViews>
    <sheetView zoomScaleSheetLayoutView="86" workbookViewId="0" topLeftCell="A1">
      <selection activeCell="A1" sqref="A1:H1"/>
    </sheetView>
  </sheetViews>
  <sheetFormatPr defaultColWidth="9.00390625" defaultRowHeight="13.5"/>
  <cols>
    <col min="1" max="1" width="10.375" style="98" customWidth="1"/>
    <col min="2" max="2" width="10.625" style="98" customWidth="1"/>
    <col min="3" max="3" width="12.625" style="98" customWidth="1"/>
    <col min="4" max="4" width="10.625" style="98" customWidth="1"/>
    <col min="5" max="5" width="12.625" style="98" customWidth="1"/>
    <col min="6" max="6" width="10.625" style="98" customWidth="1"/>
    <col min="7" max="7" width="12.625" style="98" customWidth="1"/>
    <col min="8" max="8" width="10.625" style="98" customWidth="1"/>
    <col min="9" max="9" width="12.625" style="98" customWidth="1"/>
    <col min="10" max="10" width="10.625" style="98" customWidth="1"/>
    <col min="11" max="11" width="12.625" style="98" customWidth="1"/>
    <col min="12" max="12" width="10.625" style="98" customWidth="1"/>
    <col min="13" max="13" width="12.625" style="98" customWidth="1"/>
    <col min="14" max="17" width="10.625" style="98" customWidth="1"/>
    <col min="18" max="18" width="10.375" style="98" customWidth="1"/>
    <col min="19" max="16384" width="9.00390625" style="98" customWidth="1"/>
  </cols>
  <sheetData>
    <row r="1" spans="1:16" ht="13.5">
      <c r="A1" s="51" t="s">
        <v>158</v>
      </c>
      <c r="B1" s="51"/>
      <c r="C1" s="51"/>
      <c r="D1" s="51"/>
      <c r="E1" s="51"/>
      <c r="F1" s="51"/>
      <c r="G1" s="51"/>
      <c r="H1" s="51"/>
      <c r="I1" s="51"/>
      <c r="J1" s="51"/>
      <c r="K1" s="51"/>
      <c r="L1" s="52"/>
      <c r="M1" s="52"/>
      <c r="N1" s="52"/>
      <c r="O1" s="52"/>
      <c r="P1" s="52"/>
    </row>
    <row r="2" spans="1:16" ht="14.25" thickBot="1">
      <c r="A2" s="219" t="s">
        <v>112</v>
      </c>
      <c r="B2" s="219"/>
      <c r="C2" s="219"/>
      <c r="D2" s="219"/>
      <c r="E2" s="219"/>
      <c r="F2" s="219"/>
      <c r="G2" s="219"/>
      <c r="H2" s="219"/>
      <c r="I2" s="219"/>
      <c r="J2" s="78"/>
      <c r="K2" s="78"/>
      <c r="L2" s="52"/>
      <c r="M2" s="52"/>
      <c r="N2" s="52"/>
      <c r="O2" s="52"/>
      <c r="P2" s="52"/>
    </row>
    <row r="3" spans="1:19" ht="19.5" customHeight="1">
      <c r="A3" s="211" t="s">
        <v>24</v>
      </c>
      <c r="B3" s="214" t="s">
        <v>25</v>
      </c>
      <c r="C3" s="214"/>
      <c r="D3" s="214"/>
      <c r="E3" s="214"/>
      <c r="F3" s="214"/>
      <c r="G3" s="214"/>
      <c r="H3" s="214" t="s">
        <v>11</v>
      </c>
      <c r="I3" s="214"/>
      <c r="J3" s="232" t="s">
        <v>26</v>
      </c>
      <c r="K3" s="214"/>
      <c r="L3" s="214" t="s">
        <v>27</v>
      </c>
      <c r="M3" s="214"/>
      <c r="N3" s="220" t="s">
        <v>113</v>
      </c>
      <c r="O3" s="221"/>
      <c r="P3" s="221"/>
      <c r="Q3" s="221"/>
      <c r="R3" s="203" t="s">
        <v>100</v>
      </c>
      <c r="S3" s="127"/>
    </row>
    <row r="4" spans="1:19" ht="17.25" customHeight="1">
      <c r="A4" s="212"/>
      <c r="B4" s="206" t="s">
        <v>13</v>
      </c>
      <c r="C4" s="206"/>
      <c r="D4" s="206" t="s">
        <v>29</v>
      </c>
      <c r="E4" s="206"/>
      <c r="F4" s="206" t="s">
        <v>30</v>
      </c>
      <c r="G4" s="206"/>
      <c r="H4" s="206"/>
      <c r="I4" s="206"/>
      <c r="J4" s="206"/>
      <c r="K4" s="206"/>
      <c r="L4" s="206"/>
      <c r="M4" s="206"/>
      <c r="N4" s="224" t="s">
        <v>114</v>
      </c>
      <c r="O4" s="226" t="s">
        <v>115</v>
      </c>
      <c r="P4" s="228" t="s">
        <v>116</v>
      </c>
      <c r="Q4" s="230" t="s">
        <v>117</v>
      </c>
      <c r="R4" s="222"/>
      <c r="S4" s="127"/>
    </row>
    <row r="5" spans="1:19" ht="28.5" customHeight="1">
      <c r="A5" s="213"/>
      <c r="B5" s="53" t="s">
        <v>31</v>
      </c>
      <c r="C5" s="54" t="s">
        <v>32</v>
      </c>
      <c r="D5" s="53" t="s">
        <v>31</v>
      </c>
      <c r="E5" s="54" t="s">
        <v>32</v>
      </c>
      <c r="F5" s="53" t="s">
        <v>31</v>
      </c>
      <c r="G5" s="54" t="s">
        <v>33</v>
      </c>
      <c r="H5" s="53" t="s">
        <v>31</v>
      </c>
      <c r="I5" s="54" t="s">
        <v>34</v>
      </c>
      <c r="J5" s="53" t="s">
        <v>31</v>
      </c>
      <c r="K5" s="54" t="s">
        <v>35</v>
      </c>
      <c r="L5" s="53" t="s">
        <v>31</v>
      </c>
      <c r="M5" s="80" t="s">
        <v>118</v>
      </c>
      <c r="N5" s="225"/>
      <c r="O5" s="227"/>
      <c r="P5" s="229"/>
      <c r="Q5" s="231"/>
      <c r="R5" s="223"/>
      <c r="S5" s="128"/>
    </row>
    <row r="6" spans="1:19" s="79" customFormat="1" ht="10.5">
      <c r="A6" s="58"/>
      <c r="B6" s="59" t="s">
        <v>3</v>
      </c>
      <c r="C6" s="60" t="s">
        <v>4</v>
      </c>
      <c r="D6" s="59" t="s">
        <v>3</v>
      </c>
      <c r="E6" s="60" t="s">
        <v>4</v>
      </c>
      <c r="F6" s="59" t="s">
        <v>3</v>
      </c>
      <c r="G6" s="60" t="s">
        <v>4</v>
      </c>
      <c r="H6" s="59" t="s">
        <v>3</v>
      </c>
      <c r="I6" s="61" t="s">
        <v>4</v>
      </c>
      <c r="J6" s="59" t="s">
        <v>3</v>
      </c>
      <c r="K6" s="61" t="s">
        <v>4</v>
      </c>
      <c r="L6" s="59" t="s">
        <v>156</v>
      </c>
      <c r="M6" s="122" t="s">
        <v>4</v>
      </c>
      <c r="N6" s="125" t="s">
        <v>3</v>
      </c>
      <c r="O6" s="126" t="s">
        <v>3</v>
      </c>
      <c r="P6" s="121" t="s">
        <v>3</v>
      </c>
      <c r="Q6" s="124" t="s">
        <v>3</v>
      </c>
      <c r="R6" s="130"/>
      <c r="S6" s="129"/>
    </row>
    <row r="7" spans="1:19" ht="15.75" customHeight="1">
      <c r="A7" s="64" t="s">
        <v>37</v>
      </c>
      <c r="B7" s="99">
        <f>_xlfn.COMPOUNDVALUE(209)</f>
        <v>5216</v>
      </c>
      <c r="C7" s="100">
        <v>31938986</v>
      </c>
      <c r="D7" s="99">
        <f>_xlfn.COMPOUNDVALUE(210)</f>
        <v>3191</v>
      </c>
      <c r="E7" s="100">
        <v>1812062</v>
      </c>
      <c r="F7" s="99">
        <f>_xlfn.COMPOUNDVALUE(211)</f>
        <v>8407</v>
      </c>
      <c r="G7" s="100">
        <v>33751048</v>
      </c>
      <c r="H7" s="99">
        <f>_xlfn.COMPOUNDVALUE(212)</f>
        <v>512</v>
      </c>
      <c r="I7" s="101">
        <v>1396725</v>
      </c>
      <c r="J7" s="99">
        <v>601</v>
      </c>
      <c r="K7" s="101">
        <v>123784</v>
      </c>
      <c r="L7" s="99">
        <v>9112</v>
      </c>
      <c r="M7" s="123">
        <v>32478108</v>
      </c>
      <c r="N7" s="150">
        <v>8505</v>
      </c>
      <c r="O7" s="151">
        <v>411</v>
      </c>
      <c r="P7" s="152">
        <v>12</v>
      </c>
      <c r="Q7" s="150">
        <v>8928</v>
      </c>
      <c r="R7" s="81" t="s">
        <v>38</v>
      </c>
      <c r="S7" s="128"/>
    </row>
    <row r="8" spans="1:19" ht="15.75" customHeight="1">
      <c r="A8" s="67" t="s">
        <v>39</v>
      </c>
      <c r="B8" s="102">
        <f>_xlfn.COMPOUNDVALUE(213)</f>
        <v>1792</v>
      </c>
      <c r="C8" s="103">
        <v>11032476</v>
      </c>
      <c r="D8" s="102">
        <f>_xlfn.COMPOUNDVALUE(214)</f>
        <v>1567</v>
      </c>
      <c r="E8" s="103">
        <v>778245</v>
      </c>
      <c r="F8" s="102">
        <f>_xlfn.COMPOUNDVALUE(215)</f>
        <v>3359</v>
      </c>
      <c r="G8" s="103">
        <v>11810721</v>
      </c>
      <c r="H8" s="102">
        <f>_xlfn.COMPOUNDVALUE(216)</f>
        <v>192</v>
      </c>
      <c r="I8" s="104">
        <v>1033615</v>
      </c>
      <c r="J8" s="102">
        <v>255</v>
      </c>
      <c r="K8" s="104">
        <v>42382</v>
      </c>
      <c r="L8" s="102">
        <v>3606</v>
      </c>
      <c r="M8" s="104">
        <v>10819488</v>
      </c>
      <c r="N8" s="153">
        <v>3725</v>
      </c>
      <c r="O8" s="151">
        <v>121</v>
      </c>
      <c r="P8" s="154">
        <v>3</v>
      </c>
      <c r="Q8" s="155">
        <v>3849</v>
      </c>
      <c r="R8" s="81" t="s">
        <v>40</v>
      </c>
      <c r="S8" s="127"/>
    </row>
    <row r="9" spans="1:19" ht="15.75" customHeight="1">
      <c r="A9" s="67" t="s">
        <v>41</v>
      </c>
      <c r="B9" s="102">
        <f>_xlfn.COMPOUNDVALUE(217)</f>
        <v>1256</v>
      </c>
      <c r="C9" s="103">
        <v>4875393</v>
      </c>
      <c r="D9" s="102">
        <f>_xlfn.COMPOUNDVALUE(218)</f>
        <v>766</v>
      </c>
      <c r="E9" s="103">
        <v>391067</v>
      </c>
      <c r="F9" s="102">
        <f>_xlfn.COMPOUNDVALUE(219)</f>
        <v>2022</v>
      </c>
      <c r="G9" s="103">
        <v>5266459</v>
      </c>
      <c r="H9" s="102">
        <f>_xlfn.COMPOUNDVALUE(220)</f>
        <v>164</v>
      </c>
      <c r="I9" s="104">
        <v>20216839</v>
      </c>
      <c r="J9" s="102">
        <v>214</v>
      </c>
      <c r="K9" s="104">
        <v>67501</v>
      </c>
      <c r="L9" s="102">
        <v>2251</v>
      </c>
      <c r="M9" s="104">
        <v>-14882878</v>
      </c>
      <c r="N9" s="153">
        <v>1986</v>
      </c>
      <c r="O9" s="156">
        <v>127</v>
      </c>
      <c r="P9" s="156">
        <v>8</v>
      </c>
      <c r="Q9" s="155">
        <v>2121</v>
      </c>
      <c r="R9" s="81" t="s">
        <v>42</v>
      </c>
      <c r="S9" s="127"/>
    </row>
    <row r="10" spans="1:19" ht="15.75" customHeight="1">
      <c r="A10" s="67" t="s">
        <v>43</v>
      </c>
      <c r="B10" s="102">
        <f>_xlfn.COMPOUNDVALUE(221)</f>
        <v>919</v>
      </c>
      <c r="C10" s="103">
        <v>2815579</v>
      </c>
      <c r="D10" s="102">
        <f>_xlfn.COMPOUNDVALUE(222)</f>
        <v>718</v>
      </c>
      <c r="E10" s="103">
        <v>356256</v>
      </c>
      <c r="F10" s="102">
        <f>_xlfn.COMPOUNDVALUE(223)</f>
        <v>1637</v>
      </c>
      <c r="G10" s="103">
        <v>3171836</v>
      </c>
      <c r="H10" s="102">
        <f>_xlfn.COMPOUNDVALUE(224)</f>
        <v>125</v>
      </c>
      <c r="I10" s="104">
        <v>198467</v>
      </c>
      <c r="J10" s="102">
        <v>118</v>
      </c>
      <c r="K10" s="104">
        <v>52775</v>
      </c>
      <c r="L10" s="102">
        <v>1805</v>
      </c>
      <c r="M10" s="104">
        <v>3026144</v>
      </c>
      <c r="N10" s="153">
        <v>1657</v>
      </c>
      <c r="O10" s="156">
        <v>88</v>
      </c>
      <c r="P10" s="156">
        <v>0</v>
      </c>
      <c r="Q10" s="155">
        <v>1745</v>
      </c>
      <c r="R10" s="81" t="s">
        <v>44</v>
      </c>
      <c r="S10" s="127"/>
    </row>
    <row r="11" spans="1:19" ht="15.75" customHeight="1">
      <c r="A11" s="67" t="s">
        <v>45</v>
      </c>
      <c r="B11" s="102">
        <f>_xlfn.COMPOUNDVALUE(225)</f>
        <v>471</v>
      </c>
      <c r="C11" s="103">
        <v>1997222</v>
      </c>
      <c r="D11" s="102">
        <f>_xlfn.COMPOUNDVALUE(226)</f>
        <v>336</v>
      </c>
      <c r="E11" s="103">
        <v>181852</v>
      </c>
      <c r="F11" s="102">
        <f>_xlfn.COMPOUNDVALUE(227)</f>
        <v>807</v>
      </c>
      <c r="G11" s="103">
        <v>2179074</v>
      </c>
      <c r="H11" s="102">
        <f>_xlfn.COMPOUNDVALUE(228)</f>
        <v>49</v>
      </c>
      <c r="I11" s="104">
        <v>102848</v>
      </c>
      <c r="J11" s="102">
        <v>43</v>
      </c>
      <c r="K11" s="104">
        <v>4453</v>
      </c>
      <c r="L11" s="102">
        <v>868</v>
      </c>
      <c r="M11" s="104">
        <v>2080678</v>
      </c>
      <c r="N11" s="157">
        <v>783</v>
      </c>
      <c r="O11" s="156">
        <v>41</v>
      </c>
      <c r="P11" s="156">
        <v>1</v>
      </c>
      <c r="Q11" s="155">
        <v>825</v>
      </c>
      <c r="R11" s="81" t="s">
        <v>46</v>
      </c>
      <c r="S11" s="127"/>
    </row>
    <row r="12" spans="1:18" ht="15.75" customHeight="1">
      <c r="A12" s="67" t="s">
        <v>47</v>
      </c>
      <c r="B12" s="102">
        <f>_xlfn.COMPOUNDVALUE(229)</f>
        <v>484</v>
      </c>
      <c r="C12" s="103">
        <v>1825630</v>
      </c>
      <c r="D12" s="102">
        <f>_xlfn.COMPOUNDVALUE(230)</f>
        <v>302</v>
      </c>
      <c r="E12" s="103">
        <v>171135</v>
      </c>
      <c r="F12" s="102">
        <f>_xlfn.COMPOUNDVALUE(231)</f>
        <v>786</v>
      </c>
      <c r="G12" s="103">
        <v>1996765</v>
      </c>
      <c r="H12" s="102">
        <f>_xlfn.COMPOUNDVALUE(232)</f>
        <v>49</v>
      </c>
      <c r="I12" s="104">
        <v>72192</v>
      </c>
      <c r="J12" s="102">
        <v>51</v>
      </c>
      <c r="K12" s="104">
        <v>15682</v>
      </c>
      <c r="L12" s="102">
        <v>847</v>
      </c>
      <c r="M12" s="104">
        <v>1940255</v>
      </c>
      <c r="N12" s="157">
        <v>786</v>
      </c>
      <c r="O12" s="156">
        <v>30</v>
      </c>
      <c r="P12" s="156">
        <v>0</v>
      </c>
      <c r="Q12" s="155">
        <v>816</v>
      </c>
      <c r="R12" s="81" t="s">
        <v>48</v>
      </c>
    </row>
    <row r="13" spans="1:18" ht="15.75" customHeight="1">
      <c r="A13" s="69" t="s">
        <v>49</v>
      </c>
      <c r="B13" s="105">
        <v>10138</v>
      </c>
      <c r="C13" s="106">
        <v>54485286</v>
      </c>
      <c r="D13" s="105">
        <v>6880</v>
      </c>
      <c r="E13" s="106">
        <v>3690617</v>
      </c>
      <c r="F13" s="105">
        <v>17018</v>
      </c>
      <c r="G13" s="106">
        <v>58175903</v>
      </c>
      <c r="H13" s="105">
        <v>1091</v>
      </c>
      <c r="I13" s="107">
        <v>23020686</v>
      </c>
      <c r="J13" s="105">
        <v>1282</v>
      </c>
      <c r="K13" s="107">
        <v>306577</v>
      </c>
      <c r="L13" s="105">
        <v>18489</v>
      </c>
      <c r="M13" s="107">
        <v>35461794</v>
      </c>
      <c r="N13" s="158">
        <v>17442</v>
      </c>
      <c r="O13" s="159">
        <v>818</v>
      </c>
      <c r="P13" s="159">
        <v>24</v>
      </c>
      <c r="Q13" s="160">
        <v>18284</v>
      </c>
      <c r="R13" s="70" t="s">
        <v>50</v>
      </c>
    </row>
    <row r="14" spans="1:18" ht="15.75" customHeight="1">
      <c r="A14" s="71"/>
      <c r="B14" s="108"/>
      <c r="C14" s="109"/>
      <c r="D14" s="108"/>
      <c r="E14" s="109"/>
      <c r="F14" s="110"/>
      <c r="G14" s="109"/>
      <c r="H14" s="110"/>
      <c r="I14" s="109"/>
      <c r="J14" s="110"/>
      <c r="K14" s="109"/>
      <c r="L14" s="110"/>
      <c r="M14" s="109"/>
      <c r="N14" s="161"/>
      <c r="O14" s="162"/>
      <c r="P14" s="162"/>
      <c r="Q14" s="163"/>
      <c r="R14" s="82" t="s">
        <v>119</v>
      </c>
    </row>
    <row r="15" spans="1:18" ht="15.75" customHeight="1">
      <c r="A15" s="64" t="s">
        <v>51</v>
      </c>
      <c r="B15" s="99">
        <f>_xlfn.COMPOUNDVALUE(233)</f>
        <v>6643</v>
      </c>
      <c r="C15" s="100">
        <v>60899188</v>
      </c>
      <c r="D15" s="99">
        <f>_xlfn.COMPOUNDVALUE(234)</f>
        <v>4139</v>
      </c>
      <c r="E15" s="100">
        <v>2458594</v>
      </c>
      <c r="F15" s="99">
        <f>_xlfn.COMPOUNDVALUE(235)</f>
        <v>10782</v>
      </c>
      <c r="G15" s="100">
        <v>63357782</v>
      </c>
      <c r="H15" s="99">
        <f>_xlfn.COMPOUNDVALUE(236)</f>
        <v>749</v>
      </c>
      <c r="I15" s="101">
        <v>8237814</v>
      </c>
      <c r="J15" s="99">
        <v>684</v>
      </c>
      <c r="K15" s="101">
        <v>206462</v>
      </c>
      <c r="L15" s="99">
        <v>11678</v>
      </c>
      <c r="M15" s="101">
        <v>55326431</v>
      </c>
      <c r="N15" s="164">
        <v>11346</v>
      </c>
      <c r="O15" s="165">
        <v>424</v>
      </c>
      <c r="P15" s="165">
        <v>40</v>
      </c>
      <c r="Q15" s="166">
        <v>11810</v>
      </c>
      <c r="R15" s="65" t="s">
        <v>52</v>
      </c>
    </row>
    <row r="16" spans="1:18" ht="15.75" customHeight="1">
      <c r="A16" s="67" t="s">
        <v>53</v>
      </c>
      <c r="B16" s="102">
        <f>_xlfn.COMPOUNDVALUE(237)</f>
        <v>2295</v>
      </c>
      <c r="C16" s="103">
        <v>13181367</v>
      </c>
      <c r="D16" s="102">
        <f>_xlfn.COMPOUNDVALUE(238)</f>
        <v>1571</v>
      </c>
      <c r="E16" s="103">
        <v>879154</v>
      </c>
      <c r="F16" s="102">
        <f>_xlfn.COMPOUNDVALUE(239)</f>
        <v>3866</v>
      </c>
      <c r="G16" s="103">
        <v>14060521</v>
      </c>
      <c r="H16" s="102">
        <f>_xlfn.COMPOUNDVALUE(240)</f>
        <v>251</v>
      </c>
      <c r="I16" s="104">
        <v>547988</v>
      </c>
      <c r="J16" s="102">
        <v>163</v>
      </c>
      <c r="K16" s="104">
        <v>59199</v>
      </c>
      <c r="L16" s="102">
        <v>4188</v>
      </c>
      <c r="M16" s="104">
        <v>13571732</v>
      </c>
      <c r="N16" s="157">
        <v>3993</v>
      </c>
      <c r="O16" s="156">
        <v>171</v>
      </c>
      <c r="P16" s="156">
        <v>13</v>
      </c>
      <c r="Q16" s="155">
        <v>4177</v>
      </c>
      <c r="R16" s="81" t="s">
        <v>54</v>
      </c>
    </row>
    <row r="17" spans="1:18" ht="15.75" customHeight="1">
      <c r="A17" s="67" t="s">
        <v>55</v>
      </c>
      <c r="B17" s="102">
        <f>_xlfn.COMPOUNDVALUE(241)</f>
        <v>1274</v>
      </c>
      <c r="C17" s="103">
        <v>6727243</v>
      </c>
      <c r="D17" s="102">
        <f>_xlfn.COMPOUNDVALUE(242)</f>
        <v>714</v>
      </c>
      <c r="E17" s="103">
        <v>410277</v>
      </c>
      <c r="F17" s="102">
        <f>_xlfn.COMPOUNDVALUE(243)</f>
        <v>1988</v>
      </c>
      <c r="G17" s="103">
        <v>7137520</v>
      </c>
      <c r="H17" s="102">
        <f>_xlfn.COMPOUNDVALUE(244)</f>
        <v>121</v>
      </c>
      <c r="I17" s="104">
        <v>167820</v>
      </c>
      <c r="J17" s="102">
        <v>139</v>
      </c>
      <c r="K17" s="104">
        <v>11079</v>
      </c>
      <c r="L17" s="102">
        <v>2129</v>
      </c>
      <c r="M17" s="104">
        <v>6980779</v>
      </c>
      <c r="N17" s="157">
        <v>2521</v>
      </c>
      <c r="O17" s="156">
        <v>83</v>
      </c>
      <c r="P17" s="156">
        <v>6</v>
      </c>
      <c r="Q17" s="155">
        <v>2610</v>
      </c>
      <c r="R17" s="81" t="s">
        <v>56</v>
      </c>
    </row>
    <row r="18" spans="1:18" ht="15.75" customHeight="1">
      <c r="A18" s="67" t="s">
        <v>57</v>
      </c>
      <c r="B18" s="102">
        <f>_xlfn.COMPOUNDVALUE(245)</f>
        <v>1613</v>
      </c>
      <c r="C18" s="103">
        <v>9924412</v>
      </c>
      <c r="D18" s="102">
        <f>_xlfn.COMPOUNDVALUE(246)</f>
        <v>1243</v>
      </c>
      <c r="E18" s="103">
        <v>638269</v>
      </c>
      <c r="F18" s="102">
        <f>_xlfn.COMPOUNDVALUE(247)</f>
        <v>2856</v>
      </c>
      <c r="G18" s="103">
        <v>10562681</v>
      </c>
      <c r="H18" s="102">
        <f>_xlfn.COMPOUNDVALUE(248)</f>
        <v>192</v>
      </c>
      <c r="I18" s="104">
        <v>512598</v>
      </c>
      <c r="J18" s="102">
        <v>153</v>
      </c>
      <c r="K18" s="104">
        <v>12176</v>
      </c>
      <c r="L18" s="102">
        <v>3082</v>
      </c>
      <c r="M18" s="104">
        <v>10062259</v>
      </c>
      <c r="N18" s="157">
        <v>2996</v>
      </c>
      <c r="O18" s="156">
        <v>127</v>
      </c>
      <c r="P18" s="156">
        <v>7</v>
      </c>
      <c r="Q18" s="155">
        <v>3130</v>
      </c>
      <c r="R18" s="81" t="s">
        <v>58</v>
      </c>
    </row>
    <row r="19" spans="1:18" ht="15.75" customHeight="1">
      <c r="A19" s="67" t="s">
        <v>59</v>
      </c>
      <c r="B19" s="102">
        <f>_xlfn.COMPOUNDVALUE(249)</f>
        <v>944</v>
      </c>
      <c r="C19" s="103">
        <v>4535522</v>
      </c>
      <c r="D19" s="102">
        <f>_xlfn.COMPOUNDVALUE(250)</f>
        <v>611</v>
      </c>
      <c r="E19" s="103">
        <v>316079</v>
      </c>
      <c r="F19" s="102">
        <f>_xlfn.COMPOUNDVALUE(251)</f>
        <v>1555</v>
      </c>
      <c r="G19" s="103">
        <v>4851601</v>
      </c>
      <c r="H19" s="102">
        <f>_xlfn.COMPOUNDVALUE(252)</f>
        <v>130</v>
      </c>
      <c r="I19" s="104">
        <v>224975</v>
      </c>
      <c r="J19" s="102">
        <v>60</v>
      </c>
      <c r="K19" s="104">
        <v>12427</v>
      </c>
      <c r="L19" s="102">
        <v>1698</v>
      </c>
      <c r="M19" s="104">
        <v>4639052</v>
      </c>
      <c r="N19" s="157">
        <v>1645</v>
      </c>
      <c r="O19" s="156">
        <v>83</v>
      </c>
      <c r="P19" s="156">
        <v>1</v>
      </c>
      <c r="Q19" s="155">
        <v>1729</v>
      </c>
      <c r="R19" s="81" t="s">
        <v>60</v>
      </c>
    </row>
    <row r="20" spans="1:18" ht="15.75" customHeight="1">
      <c r="A20" s="67" t="s">
        <v>61</v>
      </c>
      <c r="B20" s="102">
        <f>_xlfn.COMPOUNDVALUE(253)</f>
        <v>462</v>
      </c>
      <c r="C20" s="103">
        <v>1764803</v>
      </c>
      <c r="D20" s="102">
        <f>_xlfn.COMPOUNDVALUE(254)</f>
        <v>341</v>
      </c>
      <c r="E20" s="103">
        <v>148556</v>
      </c>
      <c r="F20" s="102">
        <f>_xlfn.COMPOUNDVALUE(255)</f>
        <v>803</v>
      </c>
      <c r="G20" s="103">
        <v>1913359</v>
      </c>
      <c r="H20" s="102">
        <f>_xlfn.COMPOUNDVALUE(256)</f>
        <v>52</v>
      </c>
      <c r="I20" s="104">
        <v>133299</v>
      </c>
      <c r="J20" s="102">
        <v>40</v>
      </c>
      <c r="K20" s="104">
        <v>3450</v>
      </c>
      <c r="L20" s="102">
        <v>867</v>
      </c>
      <c r="M20" s="104">
        <v>1783511</v>
      </c>
      <c r="N20" s="157">
        <v>836</v>
      </c>
      <c r="O20" s="156">
        <v>31</v>
      </c>
      <c r="P20" s="156">
        <v>4</v>
      </c>
      <c r="Q20" s="155">
        <v>871</v>
      </c>
      <c r="R20" s="81" t="s">
        <v>62</v>
      </c>
    </row>
    <row r="21" spans="1:18" ht="15.75" customHeight="1">
      <c r="A21" s="69" t="s">
        <v>120</v>
      </c>
      <c r="B21" s="105">
        <v>13231</v>
      </c>
      <c r="C21" s="106">
        <v>97032536</v>
      </c>
      <c r="D21" s="105">
        <v>8619</v>
      </c>
      <c r="E21" s="106">
        <v>4850928</v>
      </c>
      <c r="F21" s="105">
        <v>21850</v>
      </c>
      <c r="G21" s="106">
        <v>101883464</v>
      </c>
      <c r="H21" s="105">
        <v>1495</v>
      </c>
      <c r="I21" s="107">
        <v>9824493</v>
      </c>
      <c r="J21" s="105">
        <v>1239</v>
      </c>
      <c r="K21" s="107">
        <v>304793</v>
      </c>
      <c r="L21" s="105">
        <v>23642</v>
      </c>
      <c r="M21" s="107">
        <v>92363764</v>
      </c>
      <c r="N21" s="158">
        <v>23337</v>
      </c>
      <c r="O21" s="159">
        <v>919</v>
      </c>
      <c r="P21" s="159">
        <v>71</v>
      </c>
      <c r="Q21" s="160">
        <v>24327</v>
      </c>
      <c r="R21" s="70" t="s">
        <v>64</v>
      </c>
    </row>
    <row r="22" spans="1:18" ht="15.75" customHeight="1">
      <c r="A22" s="71"/>
      <c r="B22" s="108"/>
      <c r="C22" s="109"/>
      <c r="D22" s="108"/>
      <c r="E22" s="109"/>
      <c r="F22" s="110"/>
      <c r="G22" s="109"/>
      <c r="H22" s="110"/>
      <c r="I22" s="109"/>
      <c r="J22" s="110"/>
      <c r="K22" s="109"/>
      <c r="L22" s="110"/>
      <c r="M22" s="109"/>
      <c r="N22" s="161"/>
      <c r="O22" s="162"/>
      <c r="P22" s="162"/>
      <c r="Q22" s="163"/>
      <c r="R22" s="82" t="s">
        <v>119</v>
      </c>
    </row>
    <row r="23" spans="1:18" ht="15.75" customHeight="1">
      <c r="A23" s="64" t="s">
        <v>65</v>
      </c>
      <c r="B23" s="99">
        <f>_xlfn.COMPOUNDVALUE(257)</f>
        <v>8361</v>
      </c>
      <c r="C23" s="100">
        <v>53693415</v>
      </c>
      <c r="D23" s="99">
        <f>_xlfn.COMPOUNDVALUE(258)</f>
        <v>5107</v>
      </c>
      <c r="E23" s="100">
        <v>3029591</v>
      </c>
      <c r="F23" s="99">
        <f>_xlfn.COMPOUNDVALUE(259)</f>
        <v>13468</v>
      </c>
      <c r="G23" s="100">
        <v>56723007</v>
      </c>
      <c r="H23" s="99">
        <f>_xlfn.COMPOUNDVALUE(260)</f>
        <v>918</v>
      </c>
      <c r="I23" s="101">
        <v>3585093</v>
      </c>
      <c r="J23" s="99">
        <v>790</v>
      </c>
      <c r="K23" s="101">
        <v>63836</v>
      </c>
      <c r="L23" s="99">
        <v>14648</v>
      </c>
      <c r="M23" s="101">
        <v>53201750</v>
      </c>
      <c r="N23" s="164">
        <v>14481</v>
      </c>
      <c r="O23" s="165">
        <v>432</v>
      </c>
      <c r="P23" s="165">
        <v>33</v>
      </c>
      <c r="Q23" s="166">
        <v>14946</v>
      </c>
      <c r="R23" s="65" t="s">
        <v>66</v>
      </c>
    </row>
    <row r="24" spans="1:18" ht="15.75" customHeight="1">
      <c r="A24" s="67" t="s">
        <v>67</v>
      </c>
      <c r="B24" s="102">
        <f>_xlfn.COMPOUNDVALUE(261)</f>
        <v>2566</v>
      </c>
      <c r="C24" s="103">
        <v>18557124</v>
      </c>
      <c r="D24" s="102">
        <f>_xlfn.COMPOUNDVALUE(262)</f>
        <v>1675</v>
      </c>
      <c r="E24" s="103">
        <v>1000250</v>
      </c>
      <c r="F24" s="102">
        <f>_xlfn.COMPOUNDVALUE(263)</f>
        <v>4241</v>
      </c>
      <c r="G24" s="103">
        <v>19557374</v>
      </c>
      <c r="H24" s="102">
        <f>_xlfn.COMPOUNDVALUE(264)</f>
        <v>356</v>
      </c>
      <c r="I24" s="104">
        <v>38023913</v>
      </c>
      <c r="J24" s="102">
        <v>224</v>
      </c>
      <c r="K24" s="104">
        <v>80156</v>
      </c>
      <c r="L24" s="102">
        <v>4660</v>
      </c>
      <c r="M24" s="104">
        <v>-18386384</v>
      </c>
      <c r="N24" s="157">
        <v>4419</v>
      </c>
      <c r="O24" s="156">
        <v>156</v>
      </c>
      <c r="P24" s="156">
        <v>9</v>
      </c>
      <c r="Q24" s="155">
        <v>4584</v>
      </c>
      <c r="R24" s="81" t="s">
        <v>68</v>
      </c>
    </row>
    <row r="25" spans="1:18" ht="15.75" customHeight="1">
      <c r="A25" s="67" t="s">
        <v>69</v>
      </c>
      <c r="B25" s="102">
        <f>_xlfn.COMPOUNDVALUE(265)</f>
        <v>1444</v>
      </c>
      <c r="C25" s="103">
        <v>5041665</v>
      </c>
      <c r="D25" s="102">
        <f>_xlfn.COMPOUNDVALUE(266)</f>
        <v>1341</v>
      </c>
      <c r="E25" s="103">
        <v>594718</v>
      </c>
      <c r="F25" s="102">
        <f>_xlfn.COMPOUNDVALUE(267)</f>
        <v>2785</v>
      </c>
      <c r="G25" s="103">
        <v>5636384</v>
      </c>
      <c r="H25" s="102">
        <f>_xlfn.COMPOUNDVALUE(268)</f>
        <v>316</v>
      </c>
      <c r="I25" s="104">
        <v>1228684</v>
      </c>
      <c r="J25" s="102">
        <v>135</v>
      </c>
      <c r="K25" s="104">
        <v>16996</v>
      </c>
      <c r="L25" s="102">
        <v>3143</v>
      </c>
      <c r="M25" s="104">
        <v>4424695</v>
      </c>
      <c r="N25" s="157">
        <v>2888</v>
      </c>
      <c r="O25" s="156">
        <v>87</v>
      </c>
      <c r="P25" s="156">
        <v>7</v>
      </c>
      <c r="Q25" s="155">
        <v>2982</v>
      </c>
      <c r="R25" s="81" t="s">
        <v>70</v>
      </c>
    </row>
    <row r="26" spans="1:18" ht="15.75" customHeight="1">
      <c r="A26" s="67" t="s">
        <v>71</v>
      </c>
      <c r="B26" s="102">
        <f>_xlfn.COMPOUNDVALUE(269)</f>
        <v>919</v>
      </c>
      <c r="C26" s="103">
        <v>4121006</v>
      </c>
      <c r="D26" s="102">
        <f>_xlfn.COMPOUNDVALUE(270)</f>
        <v>1084</v>
      </c>
      <c r="E26" s="103">
        <v>456484</v>
      </c>
      <c r="F26" s="102">
        <f>_xlfn.COMPOUNDVALUE(271)</f>
        <v>2003</v>
      </c>
      <c r="G26" s="103">
        <v>4577490</v>
      </c>
      <c r="H26" s="102">
        <f>_xlfn.COMPOUNDVALUE(272)</f>
        <v>143</v>
      </c>
      <c r="I26" s="104">
        <v>332472</v>
      </c>
      <c r="J26" s="102">
        <v>120</v>
      </c>
      <c r="K26" s="104">
        <v>9422</v>
      </c>
      <c r="L26" s="102">
        <v>2170</v>
      </c>
      <c r="M26" s="104">
        <v>4254439</v>
      </c>
      <c r="N26" s="157">
        <v>2237</v>
      </c>
      <c r="O26" s="156">
        <v>53</v>
      </c>
      <c r="P26" s="156">
        <v>2</v>
      </c>
      <c r="Q26" s="155">
        <v>2292</v>
      </c>
      <c r="R26" s="81" t="s">
        <v>72</v>
      </c>
    </row>
    <row r="27" spans="1:18" ht="15.75" customHeight="1">
      <c r="A27" s="67" t="s">
        <v>73</v>
      </c>
      <c r="B27" s="102">
        <f>_xlfn.COMPOUNDVALUE(273)</f>
        <v>1462</v>
      </c>
      <c r="C27" s="103">
        <v>11590447</v>
      </c>
      <c r="D27" s="102">
        <f>_xlfn.COMPOUNDVALUE(274)</f>
        <v>910</v>
      </c>
      <c r="E27" s="103">
        <v>567103</v>
      </c>
      <c r="F27" s="102">
        <f>_xlfn.COMPOUNDVALUE(275)</f>
        <v>2372</v>
      </c>
      <c r="G27" s="103">
        <v>12157550</v>
      </c>
      <c r="H27" s="102">
        <f>_xlfn.COMPOUNDVALUE(276)</f>
        <v>73</v>
      </c>
      <c r="I27" s="104">
        <v>3112590</v>
      </c>
      <c r="J27" s="102">
        <v>157</v>
      </c>
      <c r="K27" s="104">
        <v>55331</v>
      </c>
      <c r="L27" s="102">
        <v>2511</v>
      </c>
      <c r="M27" s="104">
        <v>9100291</v>
      </c>
      <c r="N27" s="157">
        <v>2480</v>
      </c>
      <c r="O27" s="156">
        <v>51</v>
      </c>
      <c r="P27" s="156">
        <v>4</v>
      </c>
      <c r="Q27" s="155">
        <v>2535</v>
      </c>
      <c r="R27" s="81" t="s">
        <v>74</v>
      </c>
    </row>
    <row r="28" spans="1:18" ht="15.75" customHeight="1">
      <c r="A28" s="67" t="s">
        <v>75</v>
      </c>
      <c r="B28" s="102">
        <f>_xlfn.COMPOUNDVALUE(277)</f>
        <v>1306</v>
      </c>
      <c r="C28" s="103">
        <v>6440233</v>
      </c>
      <c r="D28" s="102">
        <f>_xlfn.COMPOUNDVALUE(278)</f>
        <v>941</v>
      </c>
      <c r="E28" s="103">
        <v>525173</v>
      </c>
      <c r="F28" s="102">
        <f>_xlfn.COMPOUNDVALUE(279)</f>
        <v>2247</v>
      </c>
      <c r="G28" s="103">
        <v>6965406</v>
      </c>
      <c r="H28" s="102">
        <f>_xlfn.COMPOUNDVALUE(280)</f>
        <v>138</v>
      </c>
      <c r="I28" s="104">
        <v>608012</v>
      </c>
      <c r="J28" s="102">
        <v>40</v>
      </c>
      <c r="K28" s="104">
        <v>27171</v>
      </c>
      <c r="L28" s="102">
        <v>2394</v>
      </c>
      <c r="M28" s="104">
        <v>6384565</v>
      </c>
      <c r="N28" s="157">
        <v>2359</v>
      </c>
      <c r="O28" s="156">
        <v>84</v>
      </c>
      <c r="P28" s="156">
        <v>4</v>
      </c>
      <c r="Q28" s="155">
        <v>2447</v>
      </c>
      <c r="R28" s="81" t="s">
        <v>76</v>
      </c>
    </row>
    <row r="29" spans="1:18" ht="15.75" customHeight="1">
      <c r="A29" s="67" t="s">
        <v>77</v>
      </c>
      <c r="B29" s="102">
        <f>_xlfn.COMPOUNDVALUE(281)</f>
        <v>719</v>
      </c>
      <c r="C29" s="103">
        <v>3711144</v>
      </c>
      <c r="D29" s="102">
        <f>_xlfn.COMPOUNDVALUE(282)</f>
        <v>547</v>
      </c>
      <c r="E29" s="103">
        <v>272900</v>
      </c>
      <c r="F29" s="102">
        <f>_xlfn.COMPOUNDVALUE(283)</f>
        <v>1266</v>
      </c>
      <c r="G29" s="103">
        <v>3984044</v>
      </c>
      <c r="H29" s="102">
        <f>_xlfn.COMPOUNDVALUE(284)</f>
        <v>74</v>
      </c>
      <c r="I29" s="104">
        <v>79812</v>
      </c>
      <c r="J29" s="102">
        <v>39</v>
      </c>
      <c r="K29" s="104">
        <v>2122</v>
      </c>
      <c r="L29" s="102">
        <v>1353</v>
      </c>
      <c r="M29" s="104">
        <v>3906354</v>
      </c>
      <c r="N29" s="157">
        <v>1318</v>
      </c>
      <c r="O29" s="156">
        <v>38</v>
      </c>
      <c r="P29" s="156">
        <v>3</v>
      </c>
      <c r="Q29" s="155">
        <v>1359</v>
      </c>
      <c r="R29" s="81" t="s">
        <v>78</v>
      </c>
    </row>
    <row r="30" spans="1:18" ht="15.75" customHeight="1">
      <c r="A30" s="67" t="s">
        <v>79</v>
      </c>
      <c r="B30" s="102">
        <f>_xlfn.COMPOUNDVALUE(285)</f>
        <v>1243</v>
      </c>
      <c r="C30" s="103">
        <v>20874660</v>
      </c>
      <c r="D30" s="102">
        <f>_xlfn.COMPOUNDVALUE(286)</f>
        <v>681</v>
      </c>
      <c r="E30" s="103">
        <v>394946</v>
      </c>
      <c r="F30" s="102">
        <f>_xlfn.COMPOUNDVALUE(287)</f>
        <v>1924</v>
      </c>
      <c r="G30" s="103">
        <v>21269606</v>
      </c>
      <c r="H30" s="102">
        <f>_xlfn.COMPOUNDVALUE(288)</f>
        <v>101</v>
      </c>
      <c r="I30" s="104">
        <v>941249</v>
      </c>
      <c r="J30" s="102">
        <v>108</v>
      </c>
      <c r="K30" s="104">
        <v>20375</v>
      </c>
      <c r="L30" s="102">
        <v>2032</v>
      </c>
      <c r="M30" s="104">
        <v>20348732</v>
      </c>
      <c r="N30" s="157">
        <v>1915</v>
      </c>
      <c r="O30" s="156">
        <v>73</v>
      </c>
      <c r="P30" s="156">
        <v>4</v>
      </c>
      <c r="Q30" s="155">
        <v>1992</v>
      </c>
      <c r="R30" s="81" t="s">
        <v>80</v>
      </c>
    </row>
    <row r="31" spans="1:18" ht="15.75" customHeight="1">
      <c r="A31" s="69" t="s">
        <v>121</v>
      </c>
      <c r="B31" s="105">
        <v>18020</v>
      </c>
      <c r="C31" s="106">
        <v>124029695</v>
      </c>
      <c r="D31" s="105">
        <v>12286</v>
      </c>
      <c r="E31" s="106">
        <v>6841165</v>
      </c>
      <c r="F31" s="105">
        <v>30306</v>
      </c>
      <c r="G31" s="106">
        <v>130870860</v>
      </c>
      <c r="H31" s="105">
        <v>2119</v>
      </c>
      <c r="I31" s="107">
        <v>47911826</v>
      </c>
      <c r="J31" s="105">
        <v>1613</v>
      </c>
      <c r="K31" s="107">
        <v>275409</v>
      </c>
      <c r="L31" s="105">
        <v>32911</v>
      </c>
      <c r="M31" s="107">
        <v>83234443</v>
      </c>
      <c r="N31" s="158">
        <v>32097</v>
      </c>
      <c r="O31" s="159">
        <v>974</v>
      </c>
      <c r="P31" s="159">
        <v>66</v>
      </c>
      <c r="Q31" s="160">
        <v>33137</v>
      </c>
      <c r="R31" s="70" t="s">
        <v>82</v>
      </c>
    </row>
    <row r="32" spans="1:18" ht="15.75" customHeight="1">
      <c r="A32" s="71"/>
      <c r="B32" s="108"/>
      <c r="C32" s="109"/>
      <c r="D32" s="108"/>
      <c r="E32" s="109"/>
      <c r="F32" s="110"/>
      <c r="G32" s="109"/>
      <c r="H32" s="110"/>
      <c r="I32" s="109"/>
      <c r="J32" s="110"/>
      <c r="K32" s="109"/>
      <c r="L32" s="110"/>
      <c r="M32" s="109"/>
      <c r="N32" s="161"/>
      <c r="O32" s="162"/>
      <c r="P32" s="162"/>
      <c r="Q32" s="163"/>
      <c r="R32" s="82" t="s">
        <v>119</v>
      </c>
    </row>
    <row r="33" spans="1:18" ht="15.75" customHeight="1">
      <c r="A33" s="64" t="s">
        <v>83</v>
      </c>
      <c r="B33" s="99">
        <f>_xlfn.COMPOUNDVALUE(289)</f>
        <v>4819</v>
      </c>
      <c r="C33" s="100">
        <v>31257720</v>
      </c>
      <c r="D33" s="99">
        <f>_xlfn.COMPOUNDVALUE(290)</f>
        <v>3044</v>
      </c>
      <c r="E33" s="100">
        <v>1775001</v>
      </c>
      <c r="F33" s="99">
        <f>_xlfn.COMPOUNDVALUE(291)</f>
        <v>7863</v>
      </c>
      <c r="G33" s="100">
        <v>33032720</v>
      </c>
      <c r="H33" s="99">
        <f>_xlfn.COMPOUNDVALUE(292)</f>
        <v>410</v>
      </c>
      <c r="I33" s="101">
        <v>1484486</v>
      </c>
      <c r="J33" s="99">
        <v>478</v>
      </c>
      <c r="K33" s="101">
        <v>98578</v>
      </c>
      <c r="L33" s="99">
        <v>8403</v>
      </c>
      <c r="M33" s="101">
        <v>31646811</v>
      </c>
      <c r="N33" s="164">
        <v>8264</v>
      </c>
      <c r="O33" s="165">
        <v>209</v>
      </c>
      <c r="P33" s="165">
        <v>19</v>
      </c>
      <c r="Q33" s="166">
        <v>8492</v>
      </c>
      <c r="R33" s="65" t="s">
        <v>84</v>
      </c>
    </row>
    <row r="34" spans="1:18" ht="15.75" customHeight="1">
      <c r="A34" s="67" t="s">
        <v>85</v>
      </c>
      <c r="B34" s="102">
        <f>_xlfn.COMPOUNDVALUE(293)</f>
        <v>540</v>
      </c>
      <c r="C34" s="103">
        <v>1617179</v>
      </c>
      <c r="D34" s="102">
        <f>_xlfn.COMPOUNDVALUE(294)</f>
        <v>945</v>
      </c>
      <c r="E34" s="103">
        <v>318364</v>
      </c>
      <c r="F34" s="102">
        <f>_xlfn.COMPOUNDVALUE(295)</f>
        <v>1485</v>
      </c>
      <c r="G34" s="103">
        <v>1935542</v>
      </c>
      <c r="H34" s="102">
        <f>_xlfn.COMPOUNDVALUE(296)</f>
        <v>68</v>
      </c>
      <c r="I34" s="104">
        <v>127790</v>
      </c>
      <c r="J34" s="102">
        <v>111</v>
      </c>
      <c r="K34" s="104">
        <v>32443</v>
      </c>
      <c r="L34" s="102">
        <v>1602</v>
      </c>
      <c r="M34" s="104">
        <v>1840196</v>
      </c>
      <c r="N34" s="157">
        <v>1556</v>
      </c>
      <c r="O34" s="156">
        <v>33</v>
      </c>
      <c r="P34" s="156">
        <v>0</v>
      </c>
      <c r="Q34" s="155">
        <v>1589</v>
      </c>
      <c r="R34" s="81" t="s">
        <v>86</v>
      </c>
    </row>
    <row r="35" spans="1:18" ht="15.75" customHeight="1">
      <c r="A35" s="67" t="s">
        <v>87</v>
      </c>
      <c r="B35" s="102">
        <f>_xlfn.COMPOUNDVALUE(297)</f>
        <v>1187</v>
      </c>
      <c r="C35" s="103">
        <v>6087036</v>
      </c>
      <c r="D35" s="102">
        <f>_xlfn.COMPOUNDVALUE(298)</f>
        <v>1116</v>
      </c>
      <c r="E35" s="103">
        <v>499317</v>
      </c>
      <c r="F35" s="102">
        <f>_xlfn.COMPOUNDVALUE(299)</f>
        <v>2303</v>
      </c>
      <c r="G35" s="103">
        <v>6586353</v>
      </c>
      <c r="H35" s="102">
        <f>_xlfn.COMPOUNDVALUE(300)</f>
        <v>119</v>
      </c>
      <c r="I35" s="104">
        <v>814922</v>
      </c>
      <c r="J35" s="102">
        <v>134</v>
      </c>
      <c r="K35" s="104">
        <v>29973</v>
      </c>
      <c r="L35" s="102">
        <v>2479</v>
      </c>
      <c r="M35" s="104">
        <v>5801404</v>
      </c>
      <c r="N35" s="157">
        <v>2470</v>
      </c>
      <c r="O35" s="156">
        <v>58</v>
      </c>
      <c r="P35" s="156">
        <v>5</v>
      </c>
      <c r="Q35" s="155">
        <v>2533</v>
      </c>
      <c r="R35" s="81" t="s">
        <v>88</v>
      </c>
    </row>
    <row r="36" spans="1:18" ht="15.75" customHeight="1">
      <c r="A36" s="67" t="s">
        <v>89</v>
      </c>
      <c r="B36" s="102">
        <f>_xlfn.COMPOUNDVALUE(301)</f>
        <v>864</v>
      </c>
      <c r="C36" s="103">
        <v>2850486</v>
      </c>
      <c r="D36" s="102">
        <f>_xlfn.COMPOUNDVALUE(302)</f>
        <v>1079</v>
      </c>
      <c r="E36" s="103">
        <v>463290</v>
      </c>
      <c r="F36" s="102">
        <f>_xlfn.COMPOUNDVALUE(303)</f>
        <v>1943</v>
      </c>
      <c r="G36" s="103">
        <v>3313776</v>
      </c>
      <c r="H36" s="102">
        <f>_xlfn.COMPOUNDVALUE(304)</f>
        <v>99</v>
      </c>
      <c r="I36" s="104">
        <v>236648</v>
      </c>
      <c r="J36" s="102">
        <v>160</v>
      </c>
      <c r="K36" s="104">
        <v>44546</v>
      </c>
      <c r="L36" s="102">
        <v>2100</v>
      </c>
      <c r="M36" s="104">
        <v>3121675</v>
      </c>
      <c r="N36" s="157">
        <v>2062</v>
      </c>
      <c r="O36" s="156">
        <v>42</v>
      </c>
      <c r="P36" s="156">
        <v>0</v>
      </c>
      <c r="Q36" s="155">
        <v>2104</v>
      </c>
      <c r="R36" s="81" t="s">
        <v>90</v>
      </c>
    </row>
    <row r="37" spans="1:18" ht="15.75" customHeight="1">
      <c r="A37" s="67" t="s">
        <v>91</v>
      </c>
      <c r="B37" s="102">
        <f>_xlfn.COMPOUNDVALUE(305)</f>
        <v>1129</v>
      </c>
      <c r="C37" s="103">
        <v>3450109</v>
      </c>
      <c r="D37" s="102">
        <f>_xlfn.COMPOUNDVALUE(306)</f>
        <v>878</v>
      </c>
      <c r="E37" s="103">
        <v>446365</v>
      </c>
      <c r="F37" s="102">
        <f>_xlfn.COMPOUNDVALUE(307)</f>
        <v>2007</v>
      </c>
      <c r="G37" s="103">
        <v>3896474</v>
      </c>
      <c r="H37" s="102">
        <f>_xlfn.COMPOUNDVALUE(308)</f>
        <v>129</v>
      </c>
      <c r="I37" s="104">
        <v>351472</v>
      </c>
      <c r="J37" s="102">
        <v>164</v>
      </c>
      <c r="K37" s="104">
        <v>17768</v>
      </c>
      <c r="L37" s="102">
        <v>2212</v>
      </c>
      <c r="M37" s="104">
        <v>3562770</v>
      </c>
      <c r="N37" s="157">
        <v>2089</v>
      </c>
      <c r="O37" s="156">
        <v>52</v>
      </c>
      <c r="P37" s="156">
        <v>4</v>
      </c>
      <c r="Q37" s="155">
        <v>2145</v>
      </c>
      <c r="R37" s="81" t="s">
        <v>92</v>
      </c>
    </row>
    <row r="38" spans="1:18" ht="15.75" customHeight="1">
      <c r="A38" s="67" t="s">
        <v>93</v>
      </c>
      <c r="B38" s="102">
        <f>_xlfn.COMPOUNDVALUE(309)</f>
        <v>673</v>
      </c>
      <c r="C38" s="103">
        <v>2798306</v>
      </c>
      <c r="D38" s="102">
        <f>_xlfn.COMPOUNDVALUE(310)</f>
        <v>772</v>
      </c>
      <c r="E38" s="103">
        <v>349117</v>
      </c>
      <c r="F38" s="102">
        <f>_xlfn.COMPOUNDVALUE(311)</f>
        <v>1445</v>
      </c>
      <c r="G38" s="103">
        <v>3147423</v>
      </c>
      <c r="H38" s="102">
        <f>_xlfn.COMPOUNDVALUE(312)</f>
        <v>51</v>
      </c>
      <c r="I38" s="104">
        <v>323369</v>
      </c>
      <c r="J38" s="102">
        <v>119</v>
      </c>
      <c r="K38" s="104">
        <v>28489</v>
      </c>
      <c r="L38" s="102">
        <v>1536</v>
      </c>
      <c r="M38" s="104">
        <v>2852543</v>
      </c>
      <c r="N38" s="157">
        <v>1815</v>
      </c>
      <c r="O38" s="156">
        <v>51</v>
      </c>
      <c r="P38" s="156">
        <v>0</v>
      </c>
      <c r="Q38" s="155">
        <v>1866</v>
      </c>
      <c r="R38" s="81" t="s">
        <v>94</v>
      </c>
    </row>
    <row r="39" spans="1:18" ht="15.75" customHeight="1">
      <c r="A39" s="69" t="s">
        <v>122</v>
      </c>
      <c r="B39" s="105">
        <v>9212</v>
      </c>
      <c r="C39" s="106">
        <v>48060835</v>
      </c>
      <c r="D39" s="105">
        <v>7834</v>
      </c>
      <c r="E39" s="106">
        <v>3851453</v>
      </c>
      <c r="F39" s="105">
        <v>17046</v>
      </c>
      <c r="G39" s="106">
        <v>51912288</v>
      </c>
      <c r="H39" s="105">
        <v>876</v>
      </c>
      <c r="I39" s="107">
        <v>3338687</v>
      </c>
      <c r="J39" s="105">
        <v>1166</v>
      </c>
      <c r="K39" s="107">
        <v>251798</v>
      </c>
      <c r="L39" s="105">
        <v>18332</v>
      </c>
      <c r="M39" s="107">
        <v>48825399</v>
      </c>
      <c r="N39" s="158">
        <v>18256</v>
      </c>
      <c r="O39" s="159">
        <v>445</v>
      </c>
      <c r="P39" s="159">
        <v>28</v>
      </c>
      <c r="Q39" s="160">
        <v>18729</v>
      </c>
      <c r="R39" s="70" t="s">
        <v>96</v>
      </c>
    </row>
    <row r="40" spans="1:18" ht="15.75" customHeight="1" thickBot="1">
      <c r="A40" s="73"/>
      <c r="B40" s="111"/>
      <c r="C40" s="112"/>
      <c r="D40" s="111"/>
      <c r="E40" s="112"/>
      <c r="F40" s="113"/>
      <c r="G40" s="112"/>
      <c r="H40" s="113"/>
      <c r="I40" s="112"/>
      <c r="J40" s="113"/>
      <c r="K40" s="112"/>
      <c r="L40" s="113"/>
      <c r="M40" s="112"/>
      <c r="N40" s="161"/>
      <c r="O40" s="162"/>
      <c r="P40" s="162"/>
      <c r="Q40" s="163"/>
      <c r="R40" s="131"/>
    </row>
    <row r="41" spans="1:18" ht="15.75" customHeight="1" thickBot="1" thickTop="1">
      <c r="A41" s="76" t="s">
        <v>98</v>
      </c>
      <c r="B41" s="114">
        <v>50601</v>
      </c>
      <c r="C41" s="115">
        <v>323608351</v>
      </c>
      <c r="D41" s="114">
        <v>35619</v>
      </c>
      <c r="E41" s="115">
        <v>19234163</v>
      </c>
      <c r="F41" s="114">
        <v>86220</v>
      </c>
      <c r="G41" s="115">
        <v>342842515</v>
      </c>
      <c r="H41" s="114">
        <v>5581</v>
      </c>
      <c r="I41" s="116">
        <v>84095692</v>
      </c>
      <c r="J41" s="114">
        <v>5300</v>
      </c>
      <c r="K41" s="116">
        <v>1138577</v>
      </c>
      <c r="L41" s="114">
        <v>93374</v>
      </c>
      <c r="M41" s="116">
        <v>259885400</v>
      </c>
      <c r="N41" s="167">
        <v>91132</v>
      </c>
      <c r="O41" s="168">
        <v>3156</v>
      </c>
      <c r="P41" s="168">
        <v>189</v>
      </c>
      <c r="Q41" s="169">
        <v>94477</v>
      </c>
      <c r="R41" s="83" t="s">
        <v>98</v>
      </c>
    </row>
    <row r="42" spans="1:10" ht="13.5">
      <c r="A42" s="209" t="s">
        <v>155</v>
      </c>
      <c r="B42" s="209"/>
      <c r="C42" s="209"/>
      <c r="D42" s="209"/>
      <c r="E42" s="209"/>
      <c r="F42" s="209"/>
      <c r="G42" s="209"/>
      <c r="H42" s="209"/>
      <c r="I42" s="209"/>
      <c r="J42" s="209"/>
    </row>
  </sheetData>
  <sheetProtection/>
  <mergeCells count="16">
    <mergeCell ref="A2:I2"/>
    <mergeCell ref="A3:A5"/>
    <mergeCell ref="B3:G3"/>
    <mergeCell ref="H3:I4"/>
    <mergeCell ref="J3:K4"/>
    <mergeCell ref="L3:M4"/>
    <mergeCell ref="A42:J42"/>
    <mergeCell ref="N3:Q3"/>
    <mergeCell ref="R3:R5"/>
    <mergeCell ref="B4:C4"/>
    <mergeCell ref="D4:E4"/>
    <mergeCell ref="F4:G4"/>
    <mergeCell ref="N4:N5"/>
    <mergeCell ref="O4:O5"/>
    <mergeCell ref="P4:P5"/>
    <mergeCell ref="Q4:Q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3" r:id="rId1"/>
  <headerFooter>
    <oddFooter>&amp;R&amp;K01+000高松国税局
消費税
(R03)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2023-01-27T07:23:22Z</dcterms:created>
  <dcterms:modified xsi:type="dcterms:W3CDTF">2023-05-01T01:47:17Z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