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01" activeTab="1"/>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5">'(4)税務署別（合計）'!$A$1:$R$42</definedName>
  </definedNames>
  <calcPr fullCalcOnLoad="1"/>
</workbook>
</file>

<file path=xl/sharedStrings.xml><?xml version="1.0" encoding="utf-8"?>
<sst xmlns="http://schemas.openxmlformats.org/spreadsheetml/2006/main" count="390" uniqueCount="178">
  <si>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</si>
  <si>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</si>
  <si>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</si>
  <si>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</si>
  <si>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</si>
  <si>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</si>
  <si>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</si>
  <si>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</si>
  <si>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</si>
  <si>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</si>
  <si>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</si>
  <si>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</si>
  <si>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</si>
  <si>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</si>
  <si>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</si>
  <si>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</si>
  <si>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</si>
  <si>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</si>
  <si>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</si>
  <si>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</si>
  <si>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</si>
  <si>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</si>
  <si>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</si>
  <si>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</si>
  <si>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</si>
  <si>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</si>
  <si>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</si>
  <si>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</si>
  <si>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</si>
  <si>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</si>
  <si>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</si>
  <si>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</si>
  <si>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</si>
  <si>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</si>
  <si>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</si>
  <si>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</si>
  <si>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</si>
  <si>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</si>
  <si>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</si>
  <si>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</si>
  <si>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</si>
  <si>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</si>
  <si>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</si>
  <si>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</si>
  <si>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</si>
  <si>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</si>
  <si>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</si>
  <si>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</si>
  <si>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</si>
  <si>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</si>
  <si>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</si>
  <si>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</si>
  <si>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</si>
  <si>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</si>
  <si>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</si>
  <si>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</si>
  <si>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</si>
  <si>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</si>
  <si>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</si>
  <si>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</si>
  <si>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</si>
  <si>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</si>
  <si>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</si>
  <si>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</si>
  <si>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</si>
  <si>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</si>
  <si>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</si>
  <si>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</si>
  <si>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</si>
  <si>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</si>
  <si>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</si>
  <si>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</si>
  <si>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</si>
  <si>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</si>
  <si>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</si>
  <si>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</si>
  <si>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</si>
  <si>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</si>
  <si>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</si>
  <si>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</si>
  <si>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</si>
  <si>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</si>
  <si>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</si>
  <si>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</si>
  <si>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</si>
  <si>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</si>
  <si>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</si>
  <si>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</si>
  <si>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</si>
  <si>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</si>
  <si>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</si>
  <si>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</si>
  <si>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</si>
  <si>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</si>
  <si>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</si>
  <si>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</si>
  <si>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</si>
  <si>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</si>
  <si>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</si>
  <si>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</si>
  <si>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</si>
  <si>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</si>
  <si>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　ロ　法　　　人</t>
  </si>
  <si>
    <t>税務署名</t>
  </si>
  <si>
    <t>徳島</t>
  </si>
  <si>
    <t>鳴門</t>
  </si>
  <si>
    <t>阿南</t>
  </si>
  <si>
    <t>川島</t>
  </si>
  <si>
    <t>脇町</t>
  </si>
  <si>
    <t>池田</t>
  </si>
  <si>
    <t>徳島県計</t>
  </si>
  <si>
    <t>高松</t>
  </si>
  <si>
    <t>丸亀</t>
  </si>
  <si>
    <t>坂出</t>
  </si>
  <si>
    <t>観音寺</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</si>
  <si>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</si>
  <si>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</si>
  <si>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</si>
  <si>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</si>
  <si>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</si>
  <si>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</si>
  <si>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</si>
  <si>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</si>
  <si>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</si>
  <si>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</si>
  <si>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</si>
  <si>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調査対象等：</t>
  </si>
  <si>
    <t>（注）１</t>
  </si>
  <si>
    <t>　　　２</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</si>
  <si>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</si>
  <si>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</si>
  <si>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</si>
  <si>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</si>
  <si>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</si>
  <si>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</si>
  <si>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</si>
  <si>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</si>
  <si>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</si>
  <si>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</si>
  <si>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</si>
  <si>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</si>
  <si>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</si>
  <si>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</si>
  <si>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</si>
  <si>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</si>
  <si>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</si>
  <si>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</si>
  <si>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</si>
  <si>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</si>
  <si>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</si>
  <si>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</si>
  <si>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</si>
  <si>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</si>
  <si>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</si>
  <si>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</si>
  <si>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</si>
  <si>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</si>
  <si>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</si>
  <si>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</si>
  <si>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</si>
  <si>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</si>
  <si>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</si>
  <si>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</si>
  <si>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</si>
  <si>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</si>
  <si>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</si>
  <si>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</si>
  <si>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</si>
  <si>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　「件数」欄の「実」は、実件数を示す。</t>
  </si>
  <si>
    <t>平成28年度</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</si>
  <si>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</si>
  <si>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</si>
  <si>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</si>
  <si>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平成26年度</t>
  </si>
  <si>
    <t>平成29年度</t>
  </si>
  <si>
    <t>平成30年度</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</si>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</sst>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bottom style="hair">
        <color indexed="55"/>
      </bottom>
    </border>
    <border>
      <left style="thin"/>
      <right style="medium"/>
      <top style="thin">
        <color indexed="23"/>
      </top>
      <bottom/>
    </border>
    <border>
      <left style="thin"/>
      <right style="medium"/>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color indexed="63"/>
      </left>
      <right style="hair"/>
      <top>
        <color indexed="63"/>
      </top>
      <bottom style="hair">
        <color indexed="55"/>
      </bottom>
    </border>
    <border>
      <left>
        <color indexed="63"/>
      </left>
      <right/>
      <top/>
      <bottom style="hair">
        <color indexed="55"/>
      </bottom>
    </border>
    <border>
      <left style="hair">
        <color theme="1"/>
      </left>
      <right style="hair">
        <color theme="1"/>
      </right>
      <top style="thin"/>
      <bottom>
        <color indexed="63"/>
      </bottom>
    </border>
    <border>
      <left style="hair">
        <color theme="1"/>
      </left>
      <right style="hair">
        <color theme="1"/>
      </right>
      <top>
        <color indexed="63"/>
      </top>
      <bottom style="hair">
        <color indexed="55"/>
      </bottom>
    </border>
    <border>
      <left style="hair"/>
      <right style="thin">
        <color theme="1"/>
      </right>
      <top style="thin"/>
      <bottom/>
    </border>
    <border>
      <left style="hair"/>
      <right style="thin">
        <color theme="1"/>
      </right>
      <top/>
      <bottom style="hair">
        <color indexed="55"/>
      </bottom>
    </border>
    <border>
      <left style="hair">
        <color theme="1"/>
      </left>
      <right style="thin">
        <color theme="1"/>
      </right>
      <top style="thin"/>
      <bottom>
        <color indexed="63"/>
      </bottom>
    </border>
    <border>
      <left>
        <color indexed="63"/>
      </left>
      <right>
        <color indexed="63"/>
      </right>
      <top style="thin"/>
      <bottom>
        <color indexed="63"/>
      </bottom>
    </border>
    <border>
      <left style="thin"/>
      <right>
        <color indexed="63"/>
      </right>
      <top/>
      <bottom style="hair">
        <color indexed="55"/>
      </bottom>
    </border>
    <border>
      <left style="hair"/>
      <right style="hair">
        <color theme="1"/>
      </right>
      <top style="thin"/>
      <bottom>
        <color indexed="63"/>
      </bottom>
    </border>
    <border>
      <left style="hair"/>
      <right style="hair">
        <color theme="1"/>
      </right>
      <top>
        <color indexed="63"/>
      </top>
      <bottom style="hair">
        <color indexed="55"/>
      </bottom>
    </border>
    <border>
      <left style="medium"/>
      <right>
        <color indexed="63"/>
      </right>
      <top>
        <color indexed="63"/>
      </top>
      <bottom>
        <color indexed="63"/>
      </bottom>
    </border>
    <border>
      <left style="thin"/>
      <right style="medium"/>
      <top style="thin">
        <color indexed="23"/>
      </top>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style="medium"/>
      <top style="medium"/>
      <bottom style="hair"/>
    </border>
    <border>
      <left/>
      <right/>
      <top style="medium"/>
      <bottom style="hair"/>
    </border>
    <border>
      <left>
        <color indexed="63"/>
      </left>
      <right style="medium"/>
      <top/>
      <bottom/>
    </border>
    <border>
      <left>
        <color indexed="63"/>
      </left>
      <right style="medium"/>
      <top/>
      <bottom style="thin"/>
    </border>
    <border>
      <left style="thin"/>
      <right>
        <color indexed="63"/>
      </right>
      <top style="hair"/>
      <bottom>
        <color indexed="63"/>
      </bottom>
    </border>
    <border>
      <left style="thin"/>
      <right>
        <color indexed="63"/>
      </right>
      <top/>
      <bottom style="thin"/>
    </border>
    <border>
      <left style="hair"/>
      <right style="hair">
        <color theme="1"/>
      </right>
      <top style="hair"/>
      <bottom/>
    </border>
    <border>
      <left style="hair"/>
      <right style="hair">
        <color theme="1"/>
      </right>
      <top/>
      <bottom style="thin"/>
    </border>
    <border>
      <left style="hair">
        <color theme="1"/>
      </left>
      <right style="hair">
        <color theme="1"/>
      </right>
      <top style="hair"/>
      <bottom style="hair"/>
    </border>
    <border>
      <left style="hair">
        <color theme="1"/>
      </left>
      <right style="hair">
        <color theme="1"/>
      </right>
      <top style="hair"/>
      <bottom style="thin"/>
    </border>
    <border>
      <left style="hair">
        <color theme="1"/>
      </left>
      <right style="thin">
        <color theme="1"/>
      </right>
      <top style="hair"/>
      <bottom style="hair"/>
    </border>
    <border>
      <left style="hair">
        <color theme="1"/>
      </left>
      <right style="thin">
        <color theme="1"/>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3" fontId="2" fillId="34" borderId="2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1"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2"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5" xfId="0" applyNumberFormat="1" applyFont="1" applyFill="1" applyBorder="1" applyAlignment="1">
      <alignment horizontal="right" vertical="center"/>
    </xf>
    <xf numFmtId="0" fontId="2" fillId="0" borderId="34"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40"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1" xfId="61" applyFont="1" applyBorder="1" applyAlignment="1">
      <alignment horizontal="distributed" vertical="center" indent="1"/>
      <protection/>
    </xf>
    <xf numFmtId="0" fontId="2" fillId="0" borderId="42" xfId="61" applyFont="1" applyBorder="1" applyAlignment="1">
      <alignment horizontal="distributed" vertical="center" indent="1"/>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3" xfId="61" applyFont="1" applyBorder="1" applyAlignment="1">
      <alignment horizontal="centerContinuous" vertical="center" wrapText="1"/>
      <protection/>
    </xf>
    <xf numFmtId="0" fontId="7" fillId="35" borderId="34"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4" xfId="61" applyFont="1" applyFill="1" applyBorder="1" applyAlignment="1">
      <alignment horizontal="right" vertical="top"/>
      <protection/>
    </xf>
    <xf numFmtId="0" fontId="7" fillId="35" borderId="39"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9" fillId="0" borderId="0" xfId="61" applyFont="1">
      <alignment/>
      <protection/>
    </xf>
    <xf numFmtId="0" fontId="2" fillId="36" borderId="47" xfId="61" applyFont="1" applyFill="1" applyBorder="1" applyAlignment="1">
      <alignment horizontal="distributed" vertical="center"/>
      <protection/>
    </xf>
    <xf numFmtId="0" fontId="2"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6" fillId="36" borderId="50" xfId="61" applyFont="1" applyFill="1" applyBorder="1" applyAlignment="1">
      <alignment horizontal="distributed" vertical="center"/>
      <protection/>
    </xf>
    <xf numFmtId="0" fontId="10" fillId="0" borderId="51" xfId="61" applyFont="1" applyFill="1" applyBorder="1" applyAlignment="1">
      <alignment horizontal="distributed" vertical="center"/>
      <protection/>
    </xf>
    <xf numFmtId="0" fontId="10" fillId="0" borderId="52" xfId="61" applyFont="1" applyFill="1" applyBorder="1" applyAlignment="1">
      <alignment horizontal="center" vertical="center"/>
      <protection/>
    </xf>
    <xf numFmtId="0" fontId="10" fillId="0" borderId="53" xfId="61" applyFont="1" applyFill="1" applyBorder="1" applyAlignment="1">
      <alignment horizontal="distributed" vertical="center"/>
      <protection/>
    </xf>
    <xf numFmtId="0" fontId="10" fillId="0" borderId="54" xfId="61" applyFont="1" applyFill="1" applyBorder="1" applyAlignment="1">
      <alignment horizontal="center" vertical="center"/>
      <protection/>
    </xf>
    <xf numFmtId="0" fontId="11" fillId="0" borderId="0" xfId="61" applyFont="1">
      <alignment/>
      <protection/>
    </xf>
    <xf numFmtId="0" fontId="6" fillId="0" borderId="55" xfId="61" applyFont="1" applyBorder="1" applyAlignment="1">
      <alignment horizontal="center" vertical="center"/>
      <protection/>
    </xf>
    <xf numFmtId="0" fontId="6" fillId="0" borderId="56" xfId="61" applyFont="1" applyBorder="1" applyAlignment="1">
      <alignment horizontal="center" vertical="center"/>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42" xfId="61" applyFont="1" applyBorder="1" applyAlignment="1">
      <alignment horizontal="center" vertical="center" wrapText="1"/>
      <protection/>
    </xf>
    <xf numFmtId="0" fontId="2" fillId="36" borderId="57" xfId="61" applyFont="1" applyFill="1" applyBorder="1" applyAlignment="1">
      <alignment horizontal="distributed" vertical="center"/>
      <protection/>
    </xf>
    <xf numFmtId="0" fontId="10" fillId="0" borderId="58" xfId="61" applyFont="1" applyFill="1" applyBorder="1" applyAlignment="1">
      <alignment horizontal="center" vertical="center"/>
      <protection/>
    </xf>
    <xf numFmtId="0" fontId="6" fillId="0" borderId="59" xfId="61" applyFont="1" applyBorder="1" applyAlignment="1">
      <alignment horizontal="center"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5" xfId="61" applyNumberFormat="1" applyFont="1" applyFill="1" applyBorder="1" applyAlignment="1">
      <alignment horizontal="right" vertical="center"/>
      <protection/>
    </xf>
    <xf numFmtId="177" fontId="2" fillId="33" borderId="32"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10" fillId="0" borderId="80" xfId="61" applyNumberFormat="1" applyFont="1" applyFill="1" applyBorder="1" applyAlignment="1">
      <alignment horizontal="right" vertical="center"/>
      <protection/>
    </xf>
    <xf numFmtId="177" fontId="10" fillId="0" borderId="81" xfId="61" applyNumberFormat="1" applyFont="1" applyFill="1" applyBorder="1" applyAlignment="1">
      <alignment horizontal="right" vertical="center"/>
      <protection/>
    </xf>
    <xf numFmtId="177" fontId="10"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34" borderId="86"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4"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2" fillId="0" borderId="0" xfId="0" applyFont="1" applyAlignment="1">
      <alignment horizontal="right" vertical="top"/>
    </xf>
    <xf numFmtId="0" fontId="2" fillId="0" borderId="0" xfId="0" applyFont="1" applyAlignment="1" quotePrefix="1">
      <alignment horizontal="right" vertical="top"/>
    </xf>
    <xf numFmtId="177" fontId="2" fillId="34" borderId="96" xfId="61" applyNumberFormat="1" applyFont="1" applyFill="1" applyBorder="1" applyAlignment="1">
      <alignment horizontal="right" vertical="center"/>
      <protection/>
    </xf>
    <xf numFmtId="177" fontId="2" fillId="34" borderId="97" xfId="61" applyNumberFormat="1" applyFont="1" applyFill="1" applyBorder="1" applyAlignment="1">
      <alignment horizontal="right" vertical="center"/>
      <protection/>
    </xf>
    <xf numFmtId="0" fontId="7" fillId="34" borderId="98" xfId="0" applyFont="1" applyFill="1" applyBorder="1" applyAlignment="1">
      <alignment horizontal="right"/>
    </xf>
    <xf numFmtId="177" fontId="2" fillId="34" borderId="99" xfId="61" applyNumberFormat="1" applyFont="1" applyFill="1" applyBorder="1" applyAlignment="1">
      <alignment horizontal="right" vertical="center"/>
      <protection/>
    </xf>
    <xf numFmtId="0" fontId="7" fillId="33" borderId="100" xfId="61" applyFont="1" applyFill="1" applyBorder="1" applyAlignment="1">
      <alignment horizontal="right" vertical="top"/>
      <protection/>
    </xf>
    <xf numFmtId="177" fontId="2" fillId="33" borderId="101" xfId="61" applyNumberFormat="1" applyFont="1" applyFill="1" applyBorder="1" applyAlignment="1">
      <alignment horizontal="right" vertical="center"/>
      <protection/>
    </xf>
    <xf numFmtId="0" fontId="7" fillId="34" borderId="102" xfId="0" applyFont="1" applyFill="1" applyBorder="1" applyAlignment="1">
      <alignment horizontal="right"/>
    </xf>
    <xf numFmtId="0" fontId="7" fillId="34" borderId="103" xfId="0" applyFont="1" applyFill="1" applyBorder="1" applyAlignment="1">
      <alignment horizontal="right"/>
    </xf>
    <xf numFmtId="177" fontId="2" fillId="34" borderId="104" xfId="61" applyNumberFormat="1" applyFont="1" applyFill="1" applyBorder="1" applyAlignment="1">
      <alignment horizontal="right" vertical="center"/>
      <protection/>
    </xf>
    <xf numFmtId="0" fontId="7" fillId="34" borderId="105" xfId="0" applyFont="1" applyFill="1" applyBorder="1" applyAlignment="1">
      <alignment horizontal="right"/>
    </xf>
    <xf numFmtId="177" fontId="2" fillId="34" borderId="106" xfId="61" applyNumberFormat="1" applyFont="1" applyFill="1" applyBorder="1" applyAlignment="1">
      <alignment horizontal="right" vertical="center"/>
      <protection/>
    </xf>
    <xf numFmtId="0" fontId="0" fillId="0" borderId="107" xfId="61" applyFont="1" applyBorder="1">
      <alignment/>
      <protection/>
    </xf>
    <xf numFmtId="0" fontId="0" fillId="0" borderId="107" xfId="61" applyFont="1" applyBorder="1">
      <alignment/>
      <protection/>
    </xf>
    <xf numFmtId="0" fontId="8" fillId="0" borderId="107" xfId="61" applyFont="1" applyBorder="1" applyAlignment="1">
      <alignment vertical="top"/>
      <protection/>
    </xf>
    <xf numFmtId="0" fontId="7" fillId="35" borderId="12" xfId="61" applyFont="1" applyFill="1" applyBorder="1" applyAlignment="1">
      <alignment horizontal="distributed" vertical="top"/>
      <protection/>
    </xf>
    <xf numFmtId="0" fontId="10" fillId="0" borderId="108" xfId="61" applyFont="1" applyFill="1" applyBorder="1" applyAlignment="1">
      <alignment horizontal="center" vertical="center"/>
      <protection/>
    </xf>
    <xf numFmtId="0" fontId="2" fillId="34" borderId="60" xfId="61" applyNumberFormat="1" applyFont="1" applyFill="1" applyBorder="1" applyAlignment="1">
      <alignment horizontal="right" vertical="center"/>
      <protection/>
    </xf>
    <xf numFmtId="3" fontId="2" fillId="34" borderId="109" xfId="0" applyNumberFormat="1" applyFont="1" applyFill="1" applyBorder="1" applyAlignment="1">
      <alignment vertical="center"/>
    </xf>
    <xf numFmtId="3" fontId="2" fillId="34" borderId="110" xfId="0" applyNumberFormat="1" applyFont="1" applyFill="1" applyBorder="1" applyAlignment="1">
      <alignment vertical="center"/>
    </xf>
    <xf numFmtId="3" fontId="2" fillId="34" borderId="111" xfId="0" applyNumberFormat="1" applyFont="1" applyFill="1" applyBorder="1" applyAlignment="1">
      <alignment vertical="center"/>
    </xf>
    <xf numFmtId="3" fontId="2" fillId="34" borderId="56" xfId="0" applyNumberFormat="1" applyFont="1" applyFill="1" applyBorder="1" applyAlignment="1">
      <alignment vertical="center"/>
    </xf>
    <xf numFmtId="0" fontId="2" fillId="0" borderId="112" xfId="0" applyFont="1" applyBorder="1" applyAlignment="1">
      <alignment horizontal="left" vertical="top" wrapText="1"/>
    </xf>
    <xf numFmtId="3" fontId="49" fillId="34" borderId="60" xfId="0" applyNumberFormat="1" applyFont="1" applyFill="1" applyBorder="1" applyAlignment="1">
      <alignment horizontal="right" vertical="center"/>
    </xf>
    <xf numFmtId="3" fontId="50" fillId="34" borderId="61" xfId="0" applyNumberFormat="1" applyFont="1" applyFill="1" applyBorder="1" applyAlignment="1">
      <alignment horizontal="right" vertical="center"/>
    </xf>
    <xf numFmtId="3" fontId="49" fillId="34" borderId="63" xfId="0" applyNumberFormat="1" applyFont="1" applyFill="1" applyBorder="1" applyAlignment="1">
      <alignment horizontal="right" vertical="center"/>
    </xf>
    <xf numFmtId="0" fontId="50" fillId="0" borderId="24" xfId="0" applyFont="1" applyBorder="1" applyAlignment="1">
      <alignment horizontal="right" vertical="center"/>
    </xf>
    <xf numFmtId="3" fontId="49" fillId="34" borderId="25" xfId="0" applyNumberFormat="1" applyFont="1" applyFill="1" applyBorder="1" applyAlignment="1">
      <alignment horizontal="right" vertical="center"/>
    </xf>
    <xf numFmtId="3" fontId="49" fillId="34" borderId="29" xfId="0" applyNumberFormat="1" applyFont="1" applyFill="1" applyBorder="1" applyAlignment="1">
      <alignment horizontal="right" vertical="center"/>
    </xf>
    <xf numFmtId="177" fontId="49" fillId="33" borderId="32" xfId="61" applyNumberFormat="1" applyFont="1" applyFill="1" applyBorder="1" applyAlignment="1">
      <alignment horizontal="right" vertical="center"/>
      <protection/>
    </xf>
    <xf numFmtId="177" fontId="49" fillId="33" borderId="22" xfId="61" applyNumberFormat="1" applyFont="1" applyFill="1" applyBorder="1" applyAlignment="1">
      <alignment horizontal="right" vertical="center"/>
      <protection/>
    </xf>
    <xf numFmtId="177" fontId="49" fillId="33" borderId="73" xfId="61" applyNumberFormat="1" applyFont="1" applyFill="1" applyBorder="1" applyAlignment="1">
      <alignment horizontal="right" vertical="center"/>
      <protection/>
    </xf>
    <xf numFmtId="177" fontId="49" fillId="33" borderId="75" xfId="61" applyNumberFormat="1" applyFont="1" applyFill="1" applyBorder="1" applyAlignment="1">
      <alignment horizontal="right" vertical="center"/>
      <protection/>
    </xf>
    <xf numFmtId="177" fontId="49" fillId="34" borderId="74" xfId="61" applyNumberFormat="1" applyFont="1" applyFill="1" applyBorder="1" applyAlignment="1">
      <alignment horizontal="right" vertical="center"/>
      <protection/>
    </xf>
    <xf numFmtId="177" fontId="50" fillId="34" borderId="76" xfId="61" applyNumberFormat="1" applyFont="1" applyFill="1" applyBorder="1" applyAlignment="1">
      <alignment horizontal="right" vertical="center"/>
      <protection/>
    </xf>
    <xf numFmtId="177" fontId="50" fillId="33" borderId="78" xfId="61" applyNumberFormat="1" applyFont="1" applyFill="1" applyBorder="1" applyAlignment="1">
      <alignment horizontal="right" vertical="center"/>
      <protection/>
    </xf>
    <xf numFmtId="177" fontId="50" fillId="34" borderId="19" xfId="61" applyNumberFormat="1" applyFont="1" applyFill="1" applyBorder="1" applyAlignment="1">
      <alignment horizontal="right" vertical="center"/>
      <protection/>
    </xf>
    <xf numFmtId="177" fontId="51" fillId="34" borderId="60" xfId="61" applyNumberFormat="1" applyFont="1" applyFill="1" applyBorder="1" applyAlignment="1">
      <alignment horizontal="right" vertical="center"/>
      <protection/>
    </xf>
    <xf numFmtId="0" fontId="2" fillId="0" borderId="113" xfId="0" applyFont="1" applyBorder="1" applyAlignment="1">
      <alignment horizontal="distributed" vertical="center" wrapText="1"/>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wrapText="1"/>
    </xf>
    <xf numFmtId="0" fontId="2" fillId="0" borderId="116" xfId="0" applyFont="1" applyBorder="1" applyAlignment="1">
      <alignment horizontal="distributed" vertical="center"/>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2" fillId="0" borderId="55" xfId="0" applyFont="1" applyBorder="1" applyAlignment="1">
      <alignment horizontal="distributed" vertical="center"/>
    </xf>
    <xf numFmtId="0" fontId="2" fillId="0" borderId="119" xfId="0" applyFont="1" applyBorder="1" applyAlignment="1">
      <alignment horizontal="distributed" vertical="center"/>
    </xf>
    <xf numFmtId="0" fontId="2" fillId="0" borderId="112"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07"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27" xfId="0" applyFont="1" applyBorder="1" applyAlignment="1">
      <alignment horizontal="center" vertical="center"/>
    </xf>
    <xf numFmtId="0" fontId="2" fillId="0" borderId="112" xfId="0" applyFont="1" applyBorder="1" applyAlignment="1">
      <alignment horizontal="center" vertical="center"/>
    </xf>
    <xf numFmtId="0" fontId="2" fillId="0" borderId="128" xfId="0" applyFont="1" applyBorder="1" applyAlignment="1">
      <alignment horizontal="center" vertical="center"/>
    </xf>
    <xf numFmtId="0" fontId="2" fillId="0" borderId="115"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12"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20" xfId="61" applyFont="1" applyBorder="1" applyAlignment="1">
      <alignment horizontal="distributed" vertical="center"/>
      <protection/>
    </xf>
    <xf numFmtId="0" fontId="2" fillId="0" borderId="107" xfId="61" applyFont="1" applyBorder="1" applyAlignment="1">
      <alignment horizontal="distributed" vertical="center"/>
      <protection/>
    </xf>
    <xf numFmtId="0" fontId="2" fillId="0" borderId="132" xfId="61" applyFont="1" applyBorder="1" applyAlignment="1">
      <alignment horizontal="distributed"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2" fillId="0" borderId="136" xfId="61" applyFont="1" applyBorder="1" applyAlignment="1">
      <alignment horizontal="center" vertical="center"/>
      <protection/>
    </xf>
    <xf numFmtId="0" fontId="2" fillId="0" borderId="137" xfId="61" applyFont="1" applyBorder="1" applyAlignment="1">
      <alignment horizontal="center" vertical="center"/>
      <protection/>
    </xf>
    <xf numFmtId="0" fontId="2" fillId="0" borderId="134" xfId="61" applyFont="1" applyBorder="1" applyAlignment="1">
      <alignment horizontal="center" vertical="center" wrapText="1"/>
      <protection/>
    </xf>
    <xf numFmtId="0" fontId="2" fillId="0" borderId="40" xfId="61" applyFont="1" applyBorder="1" applyAlignment="1">
      <alignment horizontal="distributed" vertical="center" wrapText="1"/>
      <protection/>
    </xf>
    <xf numFmtId="0" fontId="2" fillId="0" borderId="138" xfId="61" applyFont="1" applyBorder="1" applyAlignment="1">
      <alignment horizontal="distributed" vertical="center" wrapText="1"/>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center" vertical="center"/>
      <protection/>
    </xf>
    <xf numFmtId="0" fontId="2" fillId="0" borderId="141" xfId="61" applyFont="1" applyBorder="1" applyAlignment="1">
      <alignment horizontal="center" vertical="center"/>
      <protection/>
    </xf>
    <xf numFmtId="0" fontId="2" fillId="0" borderId="112" xfId="61" applyFont="1" applyBorder="1" applyAlignment="1">
      <alignment horizontal="left" vertical="center"/>
      <protection/>
    </xf>
    <xf numFmtId="0" fontId="2" fillId="0" borderId="142" xfId="61" applyFont="1" applyBorder="1" applyAlignment="1">
      <alignment horizontal="left" vertical="center"/>
      <protection/>
    </xf>
    <xf numFmtId="0" fontId="2" fillId="0" borderId="133" xfId="61" applyFont="1" applyBorder="1" applyAlignment="1">
      <alignment horizontal="center" vertical="center" wrapText="1"/>
      <protection/>
    </xf>
    <xf numFmtId="0" fontId="2" fillId="0" borderId="143" xfId="61" applyFont="1" applyBorder="1" applyAlignment="1">
      <alignment horizontal="center" vertical="center"/>
      <protection/>
    </xf>
    <xf numFmtId="0" fontId="2" fillId="0" borderId="144" xfId="61" applyFont="1" applyBorder="1" applyAlignment="1">
      <alignment horizontal="center" vertical="center"/>
      <protection/>
    </xf>
    <xf numFmtId="0" fontId="2" fillId="0" borderId="145" xfId="61" applyFont="1" applyBorder="1" applyAlignment="1">
      <alignment horizontal="distributed" vertical="center" wrapText="1"/>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distributed" vertical="center" wrapText="1"/>
      <protection/>
    </xf>
    <xf numFmtId="0" fontId="2" fillId="0" borderId="148" xfId="61" applyFont="1" applyBorder="1" applyAlignment="1">
      <alignment horizontal="distributed" vertical="center"/>
      <protection/>
    </xf>
    <xf numFmtId="0" fontId="2" fillId="0" borderId="149" xfId="61" applyFont="1" applyBorder="1" applyAlignment="1">
      <alignment horizontal="distributed" vertical="center" wrapText="1"/>
      <protection/>
    </xf>
    <xf numFmtId="0" fontId="2" fillId="0" borderId="150" xfId="61" applyFont="1" applyBorder="1" applyAlignment="1">
      <alignment horizontal="distributed" vertical="center"/>
      <protection/>
    </xf>
    <xf numFmtId="0" fontId="2" fillId="0" borderId="151" xfId="61" applyFont="1" applyBorder="1" applyAlignment="1">
      <alignment horizontal="distributed" vertical="center" wrapText="1"/>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center" vertical="center"/>
      <protection/>
    </xf>
    <xf numFmtId="0" fontId="2" fillId="0" borderId="15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workbookViewId="0" topLeftCell="A1">
      <selection activeCell="S7" sqref="S7"/>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98" t="s">
        <v>0</v>
      </c>
      <c r="B1" s="198"/>
      <c r="C1" s="198"/>
      <c r="D1" s="198"/>
      <c r="E1" s="198"/>
      <c r="F1" s="198"/>
      <c r="G1" s="198"/>
      <c r="H1" s="198"/>
      <c r="I1" s="198"/>
      <c r="J1" s="198"/>
      <c r="K1" s="198"/>
    </row>
    <row r="2" spans="1:11" ht="15">
      <c r="A2" s="56"/>
      <c r="B2" s="56"/>
      <c r="C2" s="56"/>
      <c r="D2" s="56"/>
      <c r="E2" s="56"/>
      <c r="F2" s="56"/>
      <c r="G2" s="56"/>
      <c r="H2" s="56"/>
      <c r="I2" s="56"/>
      <c r="J2" s="56"/>
      <c r="K2" s="56"/>
    </row>
    <row r="3" spans="1:11" ht="12" thickBot="1">
      <c r="A3" s="199" t="s">
        <v>129</v>
      </c>
      <c r="B3" s="199"/>
      <c r="C3" s="199"/>
      <c r="D3" s="199"/>
      <c r="E3" s="199"/>
      <c r="F3" s="199"/>
      <c r="G3" s="199"/>
      <c r="H3" s="199"/>
      <c r="I3" s="199"/>
      <c r="J3" s="199"/>
      <c r="K3" s="199"/>
    </row>
    <row r="4" spans="1:11" ht="24" customHeight="1">
      <c r="A4" s="200" t="s">
        <v>1</v>
      </c>
      <c r="B4" s="201"/>
      <c r="C4" s="204" t="s">
        <v>130</v>
      </c>
      <c r="D4" s="205"/>
      <c r="E4" s="206"/>
      <c r="F4" s="204" t="s">
        <v>131</v>
      </c>
      <c r="G4" s="205"/>
      <c r="H4" s="206"/>
      <c r="I4" s="204" t="s">
        <v>132</v>
      </c>
      <c r="J4" s="205"/>
      <c r="K4" s="207"/>
    </row>
    <row r="5" spans="1:11" ht="24" customHeight="1">
      <c r="A5" s="202"/>
      <c r="B5" s="203"/>
      <c r="C5" s="208" t="s">
        <v>2</v>
      </c>
      <c r="D5" s="209"/>
      <c r="E5" s="6" t="s">
        <v>3</v>
      </c>
      <c r="F5" s="208" t="s">
        <v>2</v>
      </c>
      <c r="G5" s="209"/>
      <c r="H5" s="6" t="s">
        <v>3</v>
      </c>
      <c r="I5" s="208" t="s">
        <v>2</v>
      </c>
      <c r="J5" s="209"/>
      <c r="K5" s="14" t="s">
        <v>3</v>
      </c>
    </row>
    <row r="6" spans="1:11" ht="12" customHeight="1">
      <c r="A6" s="43"/>
      <c r="B6" s="46"/>
      <c r="C6" s="44"/>
      <c r="D6" s="36" t="s">
        <v>23</v>
      </c>
      <c r="E6" s="35" t="s">
        <v>22</v>
      </c>
      <c r="F6" s="44"/>
      <c r="G6" s="36" t="s">
        <v>23</v>
      </c>
      <c r="H6" s="35" t="s">
        <v>22</v>
      </c>
      <c r="I6" s="44"/>
      <c r="J6" s="36" t="s">
        <v>23</v>
      </c>
      <c r="K6" s="45" t="s">
        <v>22</v>
      </c>
    </row>
    <row r="7" spans="1:11" ht="30" customHeight="1">
      <c r="A7" s="187" t="s">
        <v>133</v>
      </c>
      <c r="B7" s="40" t="s">
        <v>134</v>
      </c>
      <c r="C7" s="15"/>
      <c r="D7" s="172">
        <v>14097</v>
      </c>
      <c r="E7" s="41">
        <v>7781503</v>
      </c>
      <c r="F7" s="18"/>
      <c r="G7" s="95">
        <v>37925</v>
      </c>
      <c r="H7" s="41">
        <v>266825126</v>
      </c>
      <c r="I7" s="18"/>
      <c r="J7" s="95">
        <v>52022</v>
      </c>
      <c r="K7" s="42">
        <v>274606630</v>
      </c>
    </row>
    <row r="8" spans="1:11" ht="30" customHeight="1">
      <c r="A8" s="188"/>
      <c r="B8" s="23" t="s">
        <v>135</v>
      </c>
      <c r="C8" s="15"/>
      <c r="D8" s="96">
        <v>20762</v>
      </c>
      <c r="E8" s="97">
        <v>8011099</v>
      </c>
      <c r="F8" s="18"/>
      <c r="G8" s="96">
        <v>16159</v>
      </c>
      <c r="H8" s="97">
        <v>9651281</v>
      </c>
      <c r="I8" s="18"/>
      <c r="J8" s="96">
        <v>36921</v>
      </c>
      <c r="K8" s="98">
        <v>17662380</v>
      </c>
    </row>
    <row r="9" spans="1:11" s="3" customFormat="1" ht="30" customHeight="1">
      <c r="A9" s="188"/>
      <c r="B9" s="24" t="s">
        <v>136</v>
      </c>
      <c r="C9" s="16"/>
      <c r="D9" s="173">
        <v>34859</v>
      </c>
      <c r="E9" s="100">
        <v>15792603</v>
      </c>
      <c r="F9" s="16"/>
      <c r="G9" s="99">
        <v>54084</v>
      </c>
      <c r="H9" s="100">
        <v>276476407</v>
      </c>
      <c r="I9" s="16"/>
      <c r="J9" s="99">
        <v>88943</v>
      </c>
      <c r="K9" s="101">
        <v>292269010</v>
      </c>
    </row>
    <row r="10" spans="1:11" ht="30" customHeight="1">
      <c r="A10" s="189"/>
      <c r="B10" s="25" t="s">
        <v>137</v>
      </c>
      <c r="C10" s="15"/>
      <c r="D10" s="174">
        <v>1058</v>
      </c>
      <c r="E10" s="103">
        <v>771815</v>
      </c>
      <c r="F10" s="15"/>
      <c r="G10" s="102">
        <v>2602</v>
      </c>
      <c r="H10" s="103">
        <v>57470992</v>
      </c>
      <c r="I10" s="15"/>
      <c r="J10" s="102">
        <v>3660</v>
      </c>
      <c r="K10" s="104">
        <v>58242807</v>
      </c>
    </row>
    <row r="11" spans="1:11" ht="30" customHeight="1">
      <c r="A11" s="190" t="s">
        <v>138</v>
      </c>
      <c r="B11" s="57" t="s">
        <v>139</v>
      </c>
      <c r="C11" s="9"/>
      <c r="D11" s="105">
        <v>2898</v>
      </c>
      <c r="E11" s="20">
        <v>855880</v>
      </c>
      <c r="F11" s="37"/>
      <c r="G11" s="106">
        <v>3527</v>
      </c>
      <c r="H11" s="20">
        <v>1438553</v>
      </c>
      <c r="I11" s="37"/>
      <c r="J11" s="106">
        <v>6425</v>
      </c>
      <c r="K11" s="21">
        <v>2294433</v>
      </c>
    </row>
    <row r="12" spans="1:11" ht="30" customHeight="1">
      <c r="A12" s="191"/>
      <c r="B12" s="58" t="s">
        <v>140</v>
      </c>
      <c r="C12" s="38"/>
      <c r="D12" s="96">
        <v>228</v>
      </c>
      <c r="E12" s="97">
        <v>76008</v>
      </c>
      <c r="F12" s="39"/>
      <c r="G12" s="107">
        <v>361</v>
      </c>
      <c r="H12" s="97">
        <v>444852</v>
      </c>
      <c r="I12" s="39"/>
      <c r="J12" s="107">
        <v>589</v>
      </c>
      <c r="K12" s="98">
        <v>520861</v>
      </c>
    </row>
    <row r="13" spans="1:11" s="3" customFormat="1" ht="30" customHeight="1">
      <c r="A13" s="192" t="s">
        <v>6</v>
      </c>
      <c r="B13" s="193"/>
      <c r="C13" s="26" t="s">
        <v>14</v>
      </c>
      <c r="D13" s="108">
        <v>37246</v>
      </c>
      <c r="E13" s="109">
        <v>15800659</v>
      </c>
      <c r="F13" s="175" t="s">
        <v>14</v>
      </c>
      <c r="G13" s="108">
        <v>57152</v>
      </c>
      <c r="H13" s="109">
        <v>219999116</v>
      </c>
      <c r="I13" s="175" t="s">
        <v>14</v>
      </c>
      <c r="J13" s="108">
        <v>94398</v>
      </c>
      <c r="K13" s="110">
        <v>235799775</v>
      </c>
    </row>
    <row r="14" spans="1:11" ht="30" customHeight="1" thickBot="1">
      <c r="A14" s="194" t="s">
        <v>7</v>
      </c>
      <c r="B14" s="195"/>
      <c r="C14" s="17"/>
      <c r="D14" s="111">
        <v>2877</v>
      </c>
      <c r="E14" s="112">
        <v>163608</v>
      </c>
      <c r="F14" s="19"/>
      <c r="G14" s="111">
        <v>2691</v>
      </c>
      <c r="H14" s="112">
        <v>240713</v>
      </c>
      <c r="I14" s="19"/>
      <c r="J14" s="111">
        <v>5568</v>
      </c>
      <c r="K14" s="113">
        <v>404321</v>
      </c>
    </row>
    <row r="15" spans="1:11" s="4" customFormat="1" ht="37.5" customHeight="1">
      <c r="A15" s="171" t="s">
        <v>126</v>
      </c>
      <c r="B15" s="196" t="s">
        <v>170</v>
      </c>
      <c r="C15" s="196"/>
      <c r="D15" s="196"/>
      <c r="E15" s="196"/>
      <c r="F15" s="196"/>
      <c r="G15" s="196"/>
      <c r="H15" s="196"/>
      <c r="I15" s="196"/>
      <c r="J15" s="196"/>
      <c r="K15" s="196"/>
    </row>
    <row r="16" spans="2:11" ht="45" customHeight="1">
      <c r="B16" s="197" t="s">
        <v>171</v>
      </c>
      <c r="C16" s="197"/>
      <c r="D16" s="197"/>
      <c r="E16" s="197"/>
      <c r="F16" s="197"/>
      <c r="G16" s="197"/>
      <c r="H16" s="197"/>
      <c r="I16" s="197"/>
      <c r="J16" s="197"/>
      <c r="K16" s="197"/>
    </row>
    <row r="17" spans="1:2" ht="14.25" customHeight="1">
      <c r="A17" s="148" t="s">
        <v>127</v>
      </c>
      <c r="B17" s="1" t="s">
        <v>161</v>
      </c>
    </row>
    <row r="18" spans="1:2" ht="11.25">
      <c r="A18" s="149" t="s">
        <v>128</v>
      </c>
      <c r="B18" s="1" t="s">
        <v>168</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&amp;R&amp;K01+000高松国税局
消費税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workbookViewId="0" topLeftCell="A4">
      <selection activeCell="S7" sqref="S7"/>
    </sheetView>
  </sheetViews>
  <sheetFormatPr defaultColWidth="9.00390625" defaultRowHeight="13.5"/>
  <cols>
    <col min="1" max="1" width="10.625" style="60" customWidth="1"/>
    <col min="2" max="2" width="15.625" style="60" customWidth="1"/>
    <col min="3" max="3" width="8.625" style="60" customWidth="1"/>
    <col min="4" max="4" width="10.625" style="60" customWidth="1"/>
    <col min="5" max="5" width="8.625" style="60" customWidth="1"/>
    <col min="6" max="6" width="12.875" style="60" bestFit="1" customWidth="1"/>
    <col min="7" max="7" width="8.625" style="60" customWidth="1"/>
    <col min="8" max="8" width="12.875" style="60" bestFit="1" customWidth="1"/>
    <col min="9" max="16384" width="9.00390625" style="60" customWidth="1"/>
  </cols>
  <sheetData>
    <row r="1" s="1" customFormat="1" ht="12" thickBot="1">
      <c r="A1" s="1" t="s">
        <v>24</v>
      </c>
    </row>
    <row r="2" spans="1:8" s="1" customFormat="1" ht="15" customHeight="1">
      <c r="A2" s="200" t="s">
        <v>1</v>
      </c>
      <c r="B2" s="201"/>
      <c r="C2" s="210" t="s">
        <v>15</v>
      </c>
      <c r="D2" s="210"/>
      <c r="E2" s="210" t="s">
        <v>17</v>
      </c>
      <c r="F2" s="210"/>
      <c r="G2" s="211" t="s">
        <v>18</v>
      </c>
      <c r="H2" s="212"/>
    </row>
    <row r="3" spans="1:8" s="1" customFormat="1" ht="15" customHeight="1">
      <c r="A3" s="202"/>
      <c r="B3" s="203"/>
      <c r="C3" s="9" t="s">
        <v>19</v>
      </c>
      <c r="D3" s="6" t="s">
        <v>20</v>
      </c>
      <c r="E3" s="9" t="s">
        <v>19</v>
      </c>
      <c r="F3" s="7" t="s">
        <v>20</v>
      </c>
      <c r="G3" s="9" t="s">
        <v>19</v>
      </c>
      <c r="H3" s="8" t="s">
        <v>20</v>
      </c>
    </row>
    <row r="4" spans="1:8" s="10" customFormat="1" ht="15" customHeight="1">
      <c r="A4" s="48"/>
      <c r="B4" s="6"/>
      <c r="C4" s="49" t="s">
        <v>4</v>
      </c>
      <c r="D4" s="50" t="s">
        <v>5</v>
      </c>
      <c r="E4" s="49" t="s">
        <v>4</v>
      </c>
      <c r="F4" s="50" t="s">
        <v>5</v>
      </c>
      <c r="G4" s="49" t="s">
        <v>4</v>
      </c>
      <c r="H4" s="51" t="s">
        <v>5</v>
      </c>
    </row>
    <row r="5" spans="1:8" s="59" customFormat="1" ht="30" customHeight="1">
      <c r="A5" s="215" t="s">
        <v>173</v>
      </c>
      <c r="B5" s="40" t="s">
        <v>12</v>
      </c>
      <c r="C5" s="47">
        <v>35079</v>
      </c>
      <c r="D5" s="41">
        <v>13719248</v>
      </c>
      <c r="E5" s="47">
        <v>53756</v>
      </c>
      <c r="F5" s="41">
        <v>225440481</v>
      </c>
      <c r="G5" s="47">
        <v>88835</v>
      </c>
      <c r="H5" s="42">
        <v>239159729</v>
      </c>
    </row>
    <row r="6" spans="1:8" s="59" customFormat="1" ht="30" customHeight="1">
      <c r="A6" s="216"/>
      <c r="B6" s="25" t="s">
        <v>13</v>
      </c>
      <c r="C6" s="28">
        <v>1100</v>
      </c>
      <c r="D6" s="29">
        <v>806791</v>
      </c>
      <c r="E6" s="28">
        <v>2459</v>
      </c>
      <c r="F6" s="29">
        <v>46126557</v>
      </c>
      <c r="G6" s="28">
        <v>3559</v>
      </c>
      <c r="H6" s="30">
        <v>46933348</v>
      </c>
    </row>
    <row r="7" spans="1:8" s="59" customFormat="1" ht="30" customHeight="1">
      <c r="A7" s="215" t="s">
        <v>164</v>
      </c>
      <c r="B7" s="22" t="s">
        <v>12</v>
      </c>
      <c r="C7" s="27">
        <v>35021</v>
      </c>
      <c r="D7" s="20">
        <v>15606535</v>
      </c>
      <c r="E7" s="27">
        <v>53859</v>
      </c>
      <c r="F7" s="20">
        <v>262454894</v>
      </c>
      <c r="G7" s="27">
        <v>88880</v>
      </c>
      <c r="H7" s="21">
        <v>278061429</v>
      </c>
    </row>
    <row r="8" spans="1:8" s="59" customFormat="1" ht="30" customHeight="1">
      <c r="A8" s="216"/>
      <c r="B8" s="25" t="s">
        <v>13</v>
      </c>
      <c r="C8" s="28">
        <v>1052</v>
      </c>
      <c r="D8" s="29">
        <v>948361</v>
      </c>
      <c r="E8" s="28">
        <v>2435</v>
      </c>
      <c r="F8" s="29">
        <v>54282975</v>
      </c>
      <c r="G8" s="28">
        <v>3487</v>
      </c>
      <c r="H8" s="30">
        <v>55231337</v>
      </c>
    </row>
    <row r="9" spans="1:8" s="59" customFormat="1" ht="30" customHeight="1">
      <c r="A9" s="215" t="s">
        <v>169</v>
      </c>
      <c r="B9" s="22" t="s">
        <v>12</v>
      </c>
      <c r="C9" s="27">
        <v>35168</v>
      </c>
      <c r="D9" s="20">
        <v>15811903</v>
      </c>
      <c r="E9" s="27">
        <v>54026</v>
      </c>
      <c r="F9" s="20">
        <v>271287602</v>
      </c>
      <c r="G9" s="27">
        <v>89194</v>
      </c>
      <c r="H9" s="21">
        <v>287099505</v>
      </c>
    </row>
    <row r="10" spans="1:8" s="59" customFormat="1" ht="30" customHeight="1">
      <c r="A10" s="216"/>
      <c r="B10" s="25" t="s">
        <v>13</v>
      </c>
      <c r="C10" s="28">
        <v>940</v>
      </c>
      <c r="D10" s="29">
        <v>739892</v>
      </c>
      <c r="E10" s="28">
        <v>2450</v>
      </c>
      <c r="F10" s="29">
        <v>50664012</v>
      </c>
      <c r="G10" s="28">
        <v>3390</v>
      </c>
      <c r="H10" s="30">
        <v>51403904</v>
      </c>
    </row>
    <row r="11" spans="1:8" s="59" customFormat="1" ht="30" customHeight="1">
      <c r="A11" s="215" t="s">
        <v>174</v>
      </c>
      <c r="B11" s="22" t="s">
        <v>12</v>
      </c>
      <c r="C11" s="27">
        <v>35033</v>
      </c>
      <c r="D11" s="20">
        <v>15797039</v>
      </c>
      <c r="E11" s="27">
        <v>54140</v>
      </c>
      <c r="F11" s="20">
        <v>275906325</v>
      </c>
      <c r="G11" s="27">
        <v>89173</v>
      </c>
      <c r="H11" s="21">
        <v>291703363</v>
      </c>
    </row>
    <row r="12" spans="1:8" s="59" customFormat="1" ht="30" customHeight="1">
      <c r="A12" s="216"/>
      <c r="B12" s="25" t="s">
        <v>13</v>
      </c>
      <c r="C12" s="28">
        <v>1010</v>
      </c>
      <c r="D12" s="29">
        <v>761698</v>
      </c>
      <c r="E12" s="28">
        <v>2418</v>
      </c>
      <c r="F12" s="29">
        <v>52391110</v>
      </c>
      <c r="G12" s="28">
        <v>3428</v>
      </c>
      <c r="H12" s="30">
        <v>53152808</v>
      </c>
    </row>
    <row r="13" spans="1:8" s="1" customFormat="1" ht="30" customHeight="1">
      <c r="A13" s="213" t="s">
        <v>175</v>
      </c>
      <c r="B13" s="22" t="s">
        <v>12</v>
      </c>
      <c r="C13" s="176">
        <v>34859</v>
      </c>
      <c r="D13" s="20">
        <v>15792603</v>
      </c>
      <c r="E13" s="27">
        <v>54084</v>
      </c>
      <c r="F13" s="20">
        <v>276476407</v>
      </c>
      <c r="G13" s="27">
        <v>88943</v>
      </c>
      <c r="H13" s="21">
        <v>292269010</v>
      </c>
    </row>
    <row r="14" spans="1:8" s="1" customFormat="1" ht="30" customHeight="1" thickBot="1">
      <c r="A14" s="214"/>
      <c r="B14" s="31" t="s">
        <v>13</v>
      </c>
      <c r="C14" s="177">
        <v>1058</v>
      </c>
      <c r="D14" s="33">
        <v>771815</v>
      </c>
      <c r="E14" s="32">
        <v>2602</v>
      </c>
      <c r="F14" s="33">
        <v>57470992</v>
      </c>
      <c r="G14" s="32">
        <v>3660</v>
      </c>
      <c r="H14" s="34">
        <v>58242807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&amp;R&amp;K01+000高松国税局
消費税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S7" sqref="S7"/>
    </sheetView>
  </sheetViews>
  <sheetFormatPr defaultColWidth="9.00390625" defaultRowHeight="13.5"/>
  <cols>
    <col min="1" max="2" width="18.625" style="60" customWidth="1"/>
    <col min="3" max="3" width="23.625" style="60" customWidth="1"/>
    <col min="4" max="4" width="18.625" style="60" customWidth="1"/>
    <col min="5" max="16384" width="9.00390625" style="60" customWidth="1"/>
  </cols>
  <sheetData>
    <row r="1" s="1" customFormat="1" ht="20.25" customHeight="1" thickBot="1">
      <c r="A1" s="1" t="s">
        <v>21</v>
      </c>
    </row>
    <row r="2" spans="1:4" s="4" customFormat="1" ht="19.5" customHeight="1">
      <c r="A2" s="11" t="s">
        <v>8</v>
      </c>
      <c r="B2" s="12" t="s">
        <v>9</v>
      </c>
      <c r="C2" s="13" t="s">
        <v>10</v>
      </c>
      <c r="D2" s="61" t="s">
        <v>25</v>
      </c>
    </row>
    <row r="3" spans="1:4" s="10" customFormat="1" ht="15" customHeight="1">
      <c r="A3" s="52" t="s">
        <v>4</v>
      </c>
      <c r="B3" s="53" t="s">
        <v>4</v>
      </c>
      <c r="C3" s="54" t="s">
        <v>4</v>
      </c>
      <c r="D3" s="55" t="s">
        <v>4</v>
      </c>
    </row>
    <row r="4" spans="1:9" s="4" customFormat="1" ht="30" customHeight="1" thickBot="1">
      <c r="A4" s="167">
        <v>92747</v>
      </c>
      <c r="B4" s="168">
        <v>2923</v>
      </c>
      <c r="C4" s="169">
        <v>175</v>
      </c>
      <c r="D4" s="170">
        <v>95845</v>
      </c>
      <c r="E4" s="5"/>
      <c r="G4" s="5"/>
      <c r="I4" s="5"/>
    </row>
    <row r="5" spans="1:4" s="4" customFormat="1" ht="15" customHeight="1">
      <c r="A5" s="217" t="s">
        <v>172</v>
      </c>
      <c r="B5" s="217"/>
      <c r="C5" s="217"/>
      <c r="D5" s="217"/>
    </row>
    <row r="6" spans="1:4" s="4" customFormat="1" ht="15" customHeight="1">
      <c r="A6" s="218" t="s">
        <v>11</v>
      </c>
      <c r="B6" s="218"/>
      <c r="C6" s="218"/>
      <c r="D6" s="218"/>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&amp;R&amp;K01+000高松国税局
消費税
(H30)</oddFooter>
  </headerFooter>
</worksheet>
</file>

<file path=xl/worksheets/sheet4.xml><?xml version="1.0" encoding="utf-8"?>
<worksheet xmlns="http://schemas.openxmlformats.org/spreadsheetml/2006/main" xmlns:r="http://schemas.openxmlformats.org/officeDocument/2006/relationships">
  <dimension ref="A1:O56"/>
  <sheetViews>
    <sheetView zoomScale="85" zoomScaleNormal="85" zoomScaleSheetLayoutView="100" workbookViewId="0" topLeftCell="C1">
      <selection activeCell="S7" sqref="S7"/>
    </sheetView>
  </sheetViews>
  <sheetFormatPr defaultColWidth="9.00390625" defaultRowHeight="13.5"/>
  <cols>
    <col min="1" max="1" width="11.37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4" width="11.375" style="114" customWidth="1"/>
    <col min="15" max="16384" width="9.00390625" style="114" customWidth="1"/>
  </cols>
  <sheetData>
    <row r="1" spans="1:14" ht="13.5">
      <c r="A1" s="62" t="s">
        <v>166</v>
      </c>
      <c r="B1" s="62"/>
      <c r="C1" s="62"/>
      <c r="D1" s="62"/>
      <c r="E1" s="62"/>
      <c r="F1" s="62"/>
      <c r="G1" s="62"/>
      <c r="H1" s="63"/>
      <c r="I1" s="63"/>
      <c r="J1" s="63"/>
      <c r="K1" s="63"/>
      <c r="L1" s="63"/>
      <c r="M1" s="63"/>
      <c r="N1" s="63"/>
    </row>
    <row r="2" spans="1:14" ht="14.25" thickBot="1">
      <c r="A2" s="219" t="s">
        <v>26</v>
      </c>
      <c r="B2" s="219"/>
      <c r="C2" s="219"/>
      <c r="D2" s="219"/>
      <c r="E2" s="219"/>
      <c r="F2" s="219"/>
      <c r="G2" s="219"/>
      <c r="H2" s="63"/>
      <c r="I2" s="63"/>
      <c r="J2" s="63"/>
      <c r="K2" s="63"/>
      <c r="L2" s="63"/>
      <c r="M2" s="63"/>
      <c r="N2" s="63"/>
    </row>
    <row r="3" spans="1:14" ht="19.5" customHeight="1">
      <c r="A3" s="220" t="s">
        <v>27</v>
      </c>
      <c r="B3" s="223" t="s">
        <v>28</v>
      </c>
      <c r="C3" s="223"/>
      <c r="D3" s="223"/>
      <c r="E3" s="223"/>
      <c r="F3" s="223"/>
      <c r="G3" s="223"/>
      <c r="H3" s="224" t="s">
        <v>13</v>
      </c>
      <c r="I3" s="225"/>
      <c r="J3" s="228" t="s">
        <v>29</v>
      </c>
      <c r="K3" s="225"/>
      <c r="L3" s="224" t="s">
        <v>30</v>
      </c>
      <c r="M3" s="225"/>
      <c r="N3" s="229" t="s">
        <v>31</v>
      </c>
    </row>
    <row r="4" spans="1:14" ht="17.25" customHeight="1">
      <c r="A4" s="221"/>
      <c r="B4" s="232" t="s">
        <v>16</v>
      </c>
      <c r="C4" s="232"/>
      <c r="D4" s="226" t="s">
        <v>32</v>
      </c>
      <c r="E4" s="233"/>
      <c r="F4" s="226" t="s">
        <v>33</v>
      </c>
      <c r="G4" s="233"/>
      <c r="H4" s="226"/>
      <c r="I4" s="227"/>
      <c r="J4" s="226"/>
      <c r="K4" s="227"/>
      <c r="L4" s="226"/>
      <c r="M4" s="227"/>
      <c r="N4" s="230"/>
    </row>
    <row r="5" spans="1:14" s="146" customFormat="1" ht="28.5" customHeight="1">
      <c r="A5" s="222"/>
      <c r="B5" s="64" t="s">
        <v>34</v>
      </c>
      <c r="C5" s="65" t="s">
        <v>35</v>
      </c>
      <c r="D5" s="64" t="s">
        <v>34</v>
      </c>
      <c r="E5" s="65" t="s">
        <v>35</v>
      </c>
      <c r="F5" s="64" t="s">
        <v>34</v>
      </c>
      <c r="G5" s="66" t="s">
        <v>36</v>
      </c>
      <c r="H5" s="64" t="s">
        <v>34</v>
      </c>
      <c r="I5" s="67" t="s">
        <v>37</v>
      </c>
      <c r="J5" s="64" t="s">
        <v>34</v>
      </c>
      <c r="K5" s="67" t="s">
        <v>38</v>
      </c>
      <c r="L5" s="64" t="s">
        <v>34</v>
      </c>
      <c r="M5" s="68" t="s">
        <v>39</v>
      </c>
      <c r="N5" s="231"/>
    </row>
    <row r="6" spans="1:14" s="74" customFormat="1" ht="10.5">
      <c r="A6" s="69"/>
      <c r="B6" s="70" t="s">
        <v>4</v>
      </c>
      <c r="C6" s="71" t="s">
        <v>5</v>
      </c>
      <c r="D6" s="70" t="s">
        <v>4</v>
      </c>
      <c r="E6" s="71" t="s">
        <v>5</v>
      </c>
      <c r="F6" s="70" t="s">
        <v>4</v>
      </c>
      <c r="G6" s="71" t="s">
        <v>5</v>
      </c>
      <c r="H6" s="70" t="s">
        <v>4</v>
      </c>
      <c r="I6" s="72" t="s">
        <v>5</v>
      </c>
      <c r="J6" s="70" t="s">
        <v>4</v>
      </c>
      <c r="K6" s="72" t="s">
        <v>5</v>
      </c>
      <c r="L6" s="70" t="s">
        <v>165</v>
      </c>
      <c r="M6" s="72" t="s">
        <v>5</v>
      </c>
      <c r="N6" s="73"/>
    </row>
    <row r="7" spans="1:14" s="77" customFormat="1" ht="15.75" customHeight="1">
      <c r="A7" s="75" t="s">
        <v>40</v>
      </c>
      <c r="B7" s="115">
        <f>_xlfn.COMPOUNDVALUE(209)</f>
        <v>1286</v>
      </c>
      <c r="C7" s="178">
        <v>674838</v>
      </c>
      <c r="D7" s="115">
        <f>_xlfn.COMPOUNDVALUE(210)</f>
        <v>1770</v>
      </c>
      <c r="E7" s="178">
        <v>714862</v>
      </c>
      <c r="F7" s="115">
        <f>_xlfn.COMPOUNDVALUE(211)</f>
        <v>3056</v>
      </c>
      <c r="G7" s="178">
        <v>1389700</v>
      </c>
      <c r="H7" s="115">
        <f>_xlfn.COMPOUNDVALUE(212)</f>
        <v>113</v>
      </c>
      <c r="I7" s="180">
        <v>109358</v>
      </c>
      <c r="J7" s="115">
        <v>351</v>
      </c>
      <c r="K7" s="117">
        <v>78871</v>
      </c>
      <c r="L7" s="115">
        <v>3330</v>
      </c>
      <c r="M7" s="117">
        <v>1359213</v>
      </c>
      <c r="N7" s="92" t="s">
        <v>41</v>
      </c>
    </row>
    <row r="8" spans="1:14" s="77" customFormat="1" ht="15.75" customHeight="1">
      <c r="A8" s="78" t="s">
        <v>42</v>
      </c>
      <c r="B8" s="120">
        <f>_xlfn.COMPOUNDVALUE(213)</f>
        <v>549</v>
      </c>
      <c r="C8" s="179">
        <v>282949</v>
      </c>
      <c r="D8" s="120">
        <f>_xlfn.COMPOUNDVALUE(214)</f>
        <v>1116</v>
      </c>
      <c r="E8" s="179">
        <v>427492</v>
      </c>
      <c r="F8" s="120">
        <f>_xlfn.COMPOUNDVALUE(215)</f>
        <v>1665</v>
      </c>
      <c r="G8" s="179">
        <v>710441</v>
      </c>
      <c r="H8" s="120">
        <f>_xlfn.COMPOUNDVALUE(216)</f>
        <v>55</v>
      </c>
      <c r="I8" s="181">
        <v>46850</v>
      </c>
      <c r="J8" s="120">
        <v>95</v>
      </c>
      <c r="K8" s="122">
        <v>23556</v>
      </c>
      <c r="L8" s="120">
        <v>1776</v>
      </c>
      <c r="M8" s="122">
        <v>687147</v>
      </c>
      <c r="N8" s="79" t="s">
        <v>43</v>
      </c>
    </row>
    <row r="9" spans="1:14" s="77" customFormat="1" ht="15.75" customHeight="1">
      <c r="A9" s="78" t="s">
        <v>44</v>
      </c>
      <c r="B9" s="120">
        <f>_xlfn.COMPOUNDVALUE(217)</f>
        <v>428</v>
      </c>
      <c r="C9" s="179">
        <v>193004</v>
      </c>
      <c r="D9" s="120">
        <f>_xlfn.COMPOUNDVALUE(218)</f>
        <v>480</v>
      </c>
      <c r="E9" s="179">
        <v>159718</v>
      </c>
      <c r="F9" s="120">
        <f>_xlfn.COMPOUNDVALUE(219)</f>
        <v>908</v>
      </c>
      <c r="G9" s="179">
        <v>352721</v>
      </c>
      <c r="H9" s="120">
        <f>_xlfn.COMPOUNDVALUE(220)</f>
        <v>38</v>
      </c>
      <c r="I9" s="181">
        <v>27757</v>
      </c>
      <c r="J9" s="120">
        <v>34</v>
      </c>
      <c r="K9" s="122">
        <v>24821</v>
      </c>
      <c r="L9" s="120">
        <v>970</v>
      </c>
      <c r="M9" s="122">
        <v>349785</v>
      </c>
      <c r="N9" s="79" t="s">
        <v>45</v>
      </c>
    </row>
    <row r="10" spans="1:14" s="77" customFormat="1" ht="15.75" customHeight="1">
      <c r="A10" s="78" t="s">
        <v>46</v>
      </c>
      <c r="B10" s="120">
        <f>_xlfn.COMPOUNDVALUE(221)</f>
        <v>333</v>
      </c>
      <c r="C10" s="179">
        <v>173381</v>
      </c>
      <c r="D10" s="120">
        <f>_xlfn.COMPOUNDVALUE(222)</f>
        <v>456</v>
      </c>
      <c r="E10" s="179">
        <v>142686</v>
      </c>
      <c r="F10" s="120">
        <f>_xlfn.COMPOUNDVALUE(223)</f>
        <v>789</v>
      </c>
      <c r="G10" s="179">
        <v>316067</v>
      </c>
      <c r="H10" s="120">
        <f>_xlfn.COMPOUNDVALUE(224)</f>
        <v>31</v>
      </c>
      <c r="I10" s="181">
        <v>21009</v>
      </c>
      <c r="J10" s="120">
        <v>56</v>
      </c>
      <c r="K10" s="122">
        <v>19343</v>
      </c>
      <c r="L10" s="120">
        <v>853</v>
      </c>
      <c r="M10" s="122">
        <v>314401</v>
      </c>
      <c r="N10" s="79" t="s">
        <v>47</v>
      </c>
    </row>
    <row r="11" spans="1:14" s="77" customFormat="1" ht="15.75" customHeight="1">
      <c r="A11" s="78" t="s">
        <v>48</v>
      </c>
      <c r="B11" s="120">
        <f>_xlfn.COMPOUNDVALUE(225)</f>
        <v>137</v>
      </c>
      <c r="C11" s="179">
        <v>59745</v>
      </c>
      <c r="D11" s="120">
        <f>_xlfn.COMPOUNDVALUE(226)</f>
        <v>167</v>
      </c>
      <c r="E11" s="179">
        <v>65457</v>
      </c>
      <c r="F11" s="120">
        <f>_xlfn.COMPOUNDVALUE(227)</f>
        <v>304</v>
      </c>
      <c r="G11" s="179">
        <v>125202</v>
      </c>
      <c r="H11" s="120">
        <f>_xlfn.COMPOUNDVALUE(228)</f>
        <v>12</v>
      </c>
      <c r="I11" s="181">
        <v>9639</v>
      </c>
      <c r="J11" s="120">
        <v>30</v>
      </c>
      <c r="K11" s="122">
        <v>8527</v>
      </c>
      <c r="L11" s="120">
        <v>338</v>
      </c>
      <c r="M11" s="122">
        <v>124090</v>
      </c>
      <c r="N11" s="79" t="s">
        <v>49</v>
      </c>
    </row>
    <row r="12" spans="1:14" s="77" customFormat="1" ht="15.75" customHeight="1">
      <c r="A12" s="78" t="s">
        <v>50</v>
      </c>
      <c r="B12" s="120">
        <f>_xlfn.COMPOUNDVALUE(229)</f>
        <v>145</v>
      </c>
      <c r="C12" s="179">
        <v>65550</v>
      </c>
      <c r="D12" s="120">
        <f>_xlfn.COMPOUNDVALUE(230)</f>
        <v>150</v>
      </c>
      <c r="E12" s="179">
        <v>54119</v>
      </c>
      <c r="F12" s="120">
        <f>_xlfn.COMPOUNDVALUE(231)</f>
        <v>295</v>
      </c>
      <c r="G12" s="179">
        <v>119669</v>
      </c>
      <c r="H12" s="120">
        <f>_xlfn.COMPOUNDVALUE(232)</f>
        <v>10</v>
      </c>
      <c r="I12" s="181">
        <v>8040</v>
      </c>
      <c r="J12" s="120">
        <v>27</v>
      </c>
      <c r="K12" s="122">
        <v>3410</v>
      </c>
      <c r="L12" s="120">
        <v>317</v>
      </c>
      <c r="M12" s="122">
        <v>115039</v>
      </c>
      <c r="N12" s="79" t="s">
        <v>51</v>
      </c>
    </row>
    <row r="13" spans="1:14" s="77" customFormat="1" ht="15.75" customHeight="1">
      <c r="A13" s="80" t="s">
        <v>52</v>
      </c>
      <c r="B13" s="123">
        <v>2878</v>
      </c>
      <c r="C13" s="124">
        <v>1449467</v>
      </c>
      <c r="D13" s="123">
        <v>4139</v>
      </c>
      <c r="E13" s="124">
        <v>1564332</v>
      </c>
      <c r="F13" s="123">
        <v>7017</v>
      </c>
      <c r="G13" s="124">
        <v>3013799</v>
      </c>
      <c r="H13" s="123">
        <v>259</v>
      </c>
      <c r="I13" s="125">
        <v>222652</v>
      </c>
      <c r="J13" s="123">
        <v>593</v>
      </c>
      <c r="K13" s="125">
        <v>158529</v>
      </c>
      <c r="L13" s="123">
        <v>7584</v>
      </c>
      <c r="M13" s="125">
        <v>2949675</v>
      </c>
      <c r="N13" s="81" t="s">
        <v>53</v>
      </c>
    </row>
    <row r="14" spans="1:14" s="77" customFormat="1" ht="15.75" customHeight="1">
      <c r="A14" s="82"/>
      <c r="B14" s="128"/>
      <c r="C14" s="129"/>
      <c r="D14" s="128"/>
      <c r="E14" s="129"/>
      <c r="F14" s="130"/>
      <c r="G14" s="129"/>
      <c r="H14" s="130"/>
      <c r="I14" s="129"/>
      <c r="J14" s="130"/>
      <c r="K14" s="129"/>
      <c r="L14" s="130"/>
      <c r="M14" s="129"/>
      <c r="N14" s="83"/>
    </row>
    <row r="15" spans="1:14" s="77" customFormat="1" ht="15.75" customHeight="1">
      <c r="A15" s="75" t="s">
        <v>54</v>
      </c>
      <c r="B15" s="115">
        <f>_xlfn.COMPOUNDVALUE(233)</f>
        <v>1437</v>
      </c>
      <c r="C15" s="178">
        <v>722080</v>
      </c>
      <c r="D15" s="115">
        <f>_xlfn.COMPOUNDVALUE(234)</f>
        <v>1758</v>
      </c>
      <c r="E15" s="178">
        <v>769156</v>
      </c>
      <c r="F15" s="115">
        <f>_xlfn.COMPOUNDVALUE(235)</f>
        <v>3195</v>
      </c>
      <c r="G15" s="178">
        <v>1491236</v>
      </c>
      <c r="H15" s="115">
        <f>_xlfn.COMPOUNDVALUE(236)</f>
        <v>128</v>
      </c>
      <c r="I15" s="180">
        <v>113930</v>
      </c>
      <c r="J15" s="115">
        <v>354</v>
      </c>
      <c r="K15" s="117">
        <v>105185</v>
      </c>
      <c r="L15" s="115">
        <v>3490</v>
      </c>
      <c r="M15" s="117">
        <v>1482491</v>
      </c>
      <c r="N15" s="76" t="s">
        <v>55</v>
      </c>
    </row>
    <row r="16" spans="1:14" s="77" customFormat="1" ht="15.75" customHeight="1">
      <c r="A16" s="78" t="s">
        <v>56</v>
      </c>
      <c r="B16" s="120">
        <f>_xlfn.COMPOUNDVALUE(237)</f>
        <v>552</v>
      </c>
      <c r="C16" s="179">
        <v>295941</v>
      </c>
      <c r="D16" s="120">
        <f>_xlfn.COMPOUNDVALUE(238)</f>
        <v>808</v>
      </c>
      <c r="E16" s="179">
        <v>333227</v>
      </c>
      <c r="F16" s="120">
        <f>_xlfn.COMPOUNDVALUE(239)</f>
        <v>1360</v>
      </c>
      <c r="G16" s="179">
        <v>629168</v>
      </c>
      <c r="H16" s="120">
        <f>_xlfn.COMPOUNDVALUE(240)</f>
        <v>39</v>
      </c>
      <c r="I16" s="181">
        <v>23229</v>
      </c>
      <c r="J16" s="120">
        <v>176</v>
      </c>
      <c r="K16" s="122">
        <v>42796</v>
      </c>
      <c r="L16" s="120">
        <v>1483</v>
      </c>
      <c r="M16" s="122">
        <v>648735</v>
      </c>
      <c r="N16" s="79" t="s">
        <v>57</v>
      </c>
    </row>
    <row r="17" spans="1:14" s="77" customFormat="1" ht="15.75" customHeight="1">
      <c r="A17" s="78" t="s">
        <v>58</v>
      </c>
      <c r="B17" s="120">
        <f>_xlfn.COMPOUNDVALUE(241)</f>
        <v>277</v>
      </c>
      <c r="C17" s="179">
        <v>177127</v>
      </c>
      <c r="D17" s="120">
        <f>_xlfn.COMPOUNDVALUE(242)</f>
        <v>376</v>
      </c>
      <c r="E17" s="179">
        <v>152672</v>
      </c>
      <c r="F17" s="120">
        <f>_xlfn.COMPOUNDVALUE(243)</f>
        <v>653</v>
      </c>
      <c r="G17" s="179">
        <v>329799</v>
      </c>
      <c r="H17" s="120">
        <f>_xlfn.COMPOUNDVALUE(244)</f>
        <v>20</v>
      </c>
      <c r="I17" s="181">
        <v>9696</v>
      </c>
      <c r="J17" s="120">
        <v>72</v>
      </c>
      <c r="K17" s="122">
        <v>25525</v>
      </c>
      <c r="L17" s="120">
        <v>701</v>
      </c>
      <c r="M17" s="122">
        <v>345628</v>
      </c>
      <c r="N17" s="79" t="s">
        <v>59</v>
      </c>
    </row>
    <row r="18" spans="1:14" s="77" customFormat="1" ht="15.75" customHeight="1">
      <c r="A18" s="78" t="s">
        <v>60</v>
      </c>
      <c r="B18" s="120">
        <f>_xlfn.COMPOUNDVALUE(245)</f>
        <v>492</v>
      </c>
      <c r="C18" s="179">
        <v>254096</v>
      </c>
      <c r="D18" s="120">
        <f>_xlfn.COMPOUNDVALUE(246)</f>
        <v>783</v>
      </c>
      <c r="E18" s="179">
        <v>271692</v>
      </c>
      <c r="F18" s="120">
        <f>_xlfn.COMPOUNDVALUE(247)</f>
        <v>1275</v>
      </c>
      <c r="G18" s="179">
        <v>525788</v>
      </c>
      <c r="H18" s="120">
        <f>_xlfn.COMPOUNDVALUE(248)</f>
        <v>34</v>
      </c>
      <c r="I18" s="181">
        <v>12053</v>
      </c>
      <c r="J18" s="120">
        <v>165</v>
      </c>
      <c r="K18" s="122">
        <v>39486</v>
      </c>
      <c r="L18" s="120">
        <v>1393</v>
      </c>
      <c r="M18" s="122">
        <v>553221</v>
      </c>
      <c r="N18" s="79" t="s">
        <v>61</v>
      </c>
    </row>
    <row r="19" spans="1:14" s="77" customFormat="1" ht="15.75" customHeight="1">
      <c r="A19" s="78" t="s">
        <v>62</v>
      </c>
      <c r="B19" s="120">
        <f>_xlfn.COMPOUNDVALUE(249)</f>
        <v>307</v>
      </c>
      <c r="C19" s="179">
        <v>147574</v>
      </c>
      <c r="D19" s="120">
        <f>_xlfn.COMPOUNDVALUE(250)</f>
        <v>385</v>
      </c>
      <c r="E19" s="179">
        <v>149310</v>
      </c>
      <c r="F19" s="120">
        <f>_xlfn.COMPOUNDVALUE(251)</f>
        <v>692</v>
      </c>
      <c r="G19" s="179">
        <v>296884</v>
      </c>
      <c r="H19" s="120">
        <f>_xlfn.COMPOUNDVALUE(252)</f>
        <v>25</v>
      </c>
      <c r="I19" s="181">
        <v>14615</v>
      </c>
      <c r="J19" s="120">
        <v>76</v>
      </c>
      <c r="K19" s="122">
        <v>9060</v>
      </c>
      <c r="L19" s="120">
        <v>729</v>
      </c>
      <c r="M19" s="122">
        <v>291329</v>
      </c>
      <c r="N19" s="79" t="s">
        <v>63</v>
      </c>
    </row>
    <row r="20" spans="1:14" s="77" customFormat="1" ht="15.75" customHeight="1">
      <c r="A20" s="78" t="s">
        <v>64</v>
      </c>
      <c r="B20" s="120">
        <f>_xlfn.COMPOUNDVALUE(253)</f>
        <v>94</v>
      </c>
      <c r="C20" s="179">
        <v>42233</v>
      </c>
      <c r="D20" s="120">
        <f>_xlfn.COMPOUNDVALUE(254)</f>
        <v>197</v>
      </c>
      <c r="E20" s="179">
        <v>62913</v>
      </c>
      <c r="F20" s="120">
        <f>_xlfn.COMPOUNDVALUE(255)</f>
        <v>291</v>
      </c>
      <c r="G20" s="179">
        <v>105147</v>
      </c>
      <c r="H20" s="120">
        <f>_xlfn.COMPOUNDVALUE(256)</f>
        <v>8</v>
      </c>
      <c r="I20" s="181">
        <v>4270</v>
      </c>
      <c r="J20" s="120">
        <v>33</v>
      </c>
      <c r="K20" s="122">
        <v>11763</v>
      </c>
      <c r="L20" s="120">
        <v>319</v>
      </c>
      <c r="M20" s="122">
        <v>112640</v>
      </c>
      <c r="N20" s="79" t="s">
        <v>65</v>
      </c>
    </row>
    <row r="21" spans="1:14" s="77" customFormat="1" ht="15.75" customHeight="1">
      <c r="A21" s="80" t="s">
        <v>66</v>
      </c>
      <c r="B21" s="123">
        <v>3159</v>
      </c>
      <c r="C21" s="124">
        <v>1639050</v>
      </c>
      <c r="D21" s="123">
        <v>4307</v>
      </c>
      <c r="E21" s="124">
        <v>1738970</v>
      </c>
      <c r="F21" s="123">
        <v>7466</v>
      </c>
      <c r="G21" s="124">
        <v>3378021</v>
      </c>
      <c r="H21" s="123">
        <v>254</v>
      </c>
      <c r="I21" s="125">
        <v>177794</v>
      </c>
      <c r="J21" s="123">
        <v>876</v>
      </c>
      <c r="K21" s="125">
        <v>233816</v>
      </c>
      <c r="L21" s="123">
        <v>8115</v>
      </c>
      <c r="M21" s="125">
        <v>3434042</v>
      </c>
      <c r="N21" s="81" t="s">
        <v>67</v>
      </c>
    </row>
    <row r="22" spans="1:14" s="77" customFormat="1" ht="15.75" customHeight="1">
      <c r="A22" s="82"/>
      <c r="B22" s="128"/>
      <c r="C22" s="129"/>
      <c r="D22" s="128"/>
      <c r="E22" s="129"/>
      <c r="F22" s="130"/>
      <c r="G22" s="129"/>
      <c r="H22" s="130"/>
      <c r="I22" s="129"/>
      <c r="J22" s="130"/>
      <c r="K22" s="129"/>
      <c r="L22" s="130"/>
      <c r="M22" s="129"/>
      <c r="N22" s="83"/>
    </row>
    <row r="23" spans="1:14" s="77" customFormat="1" ht="15.75" customHeight="1">
      <c r="A23" s="75" t="s">
        <v>68</v>
      </c>
      <c r="B23" s="115">
        <f>_xlfn.COMPOUNDVALUE(257)</f>
        <v>2185</v>
      </c>
      <c r="C23" s="178">
        <v>1044079</v>
      </c>
      <c r="D23" s="115">
        <f>_xlfn.COMPOUNDVALUE(258)</f>
        <v>2519</v>
      </c>
      <c r="E23" s="178">
        <v>1055116</v>
      </c>
      <c r="F23" s="115">
        <f>_xlfn.COMPOUNDVALUE(259)</f>
        <v>4704</v>
      </c>
      <c r="G23" s="178">
        <v>2099195</v>
      </c>
      <c r="H23" s="115">
        <f>_xlfn.COMPOUNDVALUE(260)</f>
        <v>147</v>
      </c>
      <c r="I23" s="180">
        <v>131379</v>
      </c>
      <c r="J23" s="115">
        <v>486</v>
      </c>
      <c r="K23" s="117">
        <v>123833</v>
      </c>
      <c r="L23" s="115">
        <v>5059</v>
      </c>
      <c r="M23" s="117">
        <v>2091649</v>
      </c>
      <c r="N23" s="76" t="s">
        <v>69</v>
      </c>
    </row>
    <row r="24" spans="1:14" s="77" customFormat="1" ht="15.75" customHeight="1">
      <c r="A24" s="78" t="s">
        <v>70</v>
      </c>
      <c r="B24" s="182">
        <f>_xlfn.COMPOUNDVALUE(261)</f>
        <v>635</v>
      </c>
      <c r="C24" s="179">
        <v>404663</v>
      </c>
      <c r="D24" s="120">
        <f>_xlfn.COMPOUNDVALUE(262)</f>
        <v>910</v>
      </c>
      <c r="E24" s="179">
        <v>393708</v>
      </c>
      <c r="F24" s="182">
        <f>_xlfn.COMPOUNDVALUE(263)</f>
        <v>1545</v>
      </c>
      <c r="G24" s="179">
        <v>798371</v>
      </c>
      <c r="H24" s="182">
        <f>_xlfn.COMPOUNDVALUE(264)</f>
        <v>57</v>
      </c>
      <c r="I24" s="181">
        <v>35481</v>
      </c>
      <c r="J24" s="120">
        <v>119</v>
      </c>
      <c r="K24" s="122">
        <v>26009</v>
      </c>
      <c r="L24" s="120">
        <v>1644</v>
      </c>
      <c r="M24" s="122">
        <v>788899</v>
      </c>
      <c r="N24" s="79" t="s">
        <v>71</v>
      </c>
    </row>
    <row r="25" spans="1:14" s="77" customFormat="1" ht="15.75" customHeight="1">
      <c r="A25" s="78" t="s">
        <v>72</v>
      </c>
      <c r="B25" s="120">
        <f>_xlfn.COMPOUNDVALUE(265)</f>
        <v>663</v>
      </c>
      <c r="C25" s="179">
        <v>584793</v>
      </c>
      <c r="D25" s="120">
        <f>_xlfn.COMPOUNDVALUE(266)</f>
        <v>930</v>
      </c>
      <c r="E25" s="179">
        <v>342641</v>
      </c>
      <c r="F25" s="120">
        <f>_xlfn.COMPOUNDVALUE(267)</f>
        <v>1593</v>
      </c>
      <c r="G25" s="179">
        <v>927434</v>
      </c>
      <c r="H25" s="120">
        <f>_xlfn.COMPOUNDVALUE(268)</f>
        <v>38</v>
      </c>
      <c r="I25" s="181">
        <v>27554</v>
      </c>
      <c r="J25" s="120">
        <v>69</v>
      </c>
      <c r="K25" s="122">
        <v>12946</v>
      </c>
      <c r="L25" s="120">
        <v>1668</v>
      </c>
      <c r="M25" s="122">
        <v>912826</v>
      </c>
      <c r="N25" s="79" t="s">
        <v>73</v>
      </c>
    </row>
    <row r="26" spans="1:14" s="77" customFormat="1" ht="15.75" customHeight="1">
      <c r="A26" s="78" t="s">
        <v>74</v>
      </c>
      <c r="B26" s="120">
        <f>_xlfn.COMPOUNDVALUE(269)</f>
        <v>281</v>
      </c>
      <c r="C26" s="179">
        <v>171099</v>
      </c>
      <c r="D26" s="120">
        <f>_xlfn.COMPOUNDVALUE(270)</f>
        <v>778</v>
      </c>
      <c r="E26" s="179">
        <v>251086</v>
      </c>
      <c r="F26" s="120">
        <f>_xlfn.COMPOUNDVALUE(271)</f>
        <v>1059</v>
      </c>
      <c r="G26" s="179">
        <v>422186</v>
      </c>
      <c r="H26" s="120">
        <f>_xlfn.COMPOUNDVALUE(272)</f>
        <v>24</v>
      </c>
      <c r="I26" s="181">
        <v>10367</v>
      </c>
      <c r="J26" s="120">
        <v>31</v>
      </c>
      <c r="K26" s="122">
        <v>10284</v>
      </c>
      <c r="L26" s="120">
        <v>1090</v>
      </c>
      <c r="M26" s="122">
        <v>422103</v>
      </c>
      <c r="N26" s="79" t="s">
        <v>75</v>
      </c>
    </row>
    <row r="27" spans="1:14" s="77" customFormat="1" ht="15.75" customHeight="1">
      <c r="A27" s="78" t="s">
        <v>76</v>
      </c>
      <c r="B27" s="120">
        <f>_xlfn.COMPOUNDVALUE(273)</f>
        <v>340</v>
      </c>
      <c r="C27" s="179">
        <v>169171</v>
      </c>
      <c r="D27" s="120">
        <f>_xlfn.COMPOUNDVALUE(274)</f>
        <v>421</v>
      </c>
      <c r="E27" s="179">
        <v>177152</v>
      </c>
      <c r="F27" s="120">
        <f>_xlfn.COMPOUNDVALUE(275)</f>
        <v>761</v>
      </c>
      <c r="G27" s="179">
        <v>346323</v>
      </c>
      <c r="H27" s="120">
        <f>_xlfn.COMPOUNDVALUE(276)</f>
        <v>10</v>
      </c>
      <c r="I27" s="181">
        <v>3434</v>
      </c>
      <c r="J27" s="120">
        <v>86</v>
      </c>
      <c r="K27" s="122">
        <v>24697</v>
      </c>
      <c r="L27" s="120">
        <v>817</v>
      </c>
      <c r="M27" s="122">
        <v>367586</v>
      </c>
      <c r="N27" s="79" t="s">
        <v>77</v>
      </c>
    </row>
    <row r="28" spans="1:14" s="77" customFormat="1" ht="15.75" customHeight="1">
      <c r="A28" s="78" t="s">
        <v>78</v>
      </c>
      <c r="B28" s="120">
        <f>_xlfn.COMPOUNDVALUE(277)</f>
        <v>378</v>
      </c>
      <c r="C28" s="179">
        <v>185511</v>
      </c>
      <c r="D28" s="120">
        <f>_xlfn.COMPOUNDVALUE(278)</f>
        <v>455</v>
      </c>
      <c r="E28" s="179">
        <v>175292</v>
      </c>
      <c r="F28" s="120">
        <f>_xlfn.COMPOUNDVALUE(279)</f>
        <v>833</v>
      </c>
      <c r="G28" s="179">
        <v>360804</v>
      </c>
      <c r="H28" s="120">
        <f>_xlfn.COMPOUNDVALUE(280)</f>
        <v>22</v>
      </c>
      <c r="I28" s="181">
        <v>8283</v>
      </c>
      <c r="J28" s="120">
        <v>29</v>
      </c>
      <c r="K28" s="122">
        <v>5507</v>
      </c>
      <c r="L28" s="120">
        <v>862</v>
      </c>
      <c r="M28" s="122">
        <v>358028</v>
      </c>
      <c r="N28" s="79" t="s">
        <v>79</v>
      </c>
    </row>
    <row r="29" spans="1:14" s="77" customFormat="1" ht="15.75" customHeight="1">
      <c r="A29" s="78" t="s">
        <v>80</v>
      </c>
      <c r="B29" s="120">
        <f>_xlfn.COMPOUNDVALUE(281)</f>
        <v>207</v>
      </c>
      <c r="C29" s="179">
        <v>102298</v>
      </c>
      <c r="D29" s="120">
        <f>_xlfn.COMPOUNDVALUE(282)</f>
        <v>334</v>
      </c>
      <c r="E29" s="179">
        <v>114977</v>
      </c>
      <c r="F29" s="120">
        <f>_xlfn.COMPOUNDVALUE(283)</f>
        <v>541</v>
      </c>
      <c r="G29" s="179">
        <v>217275</v>
      </c>
      <c r="H29" s="120">
        <f>_xlfn.COMPOUNDVALUE(284)</f>
        <v>31</v>
      </c>
      <c r="I29" s="181">
        <v>10251</v>
      </c>
      <c r="J29" s="120">
        <v>18</v>
      </c>
      <c r="K29" s="122">
        <v>1044</v>
      </c>
      <c r="L29" s="120">
        <v>574</v>
      </c>
      <c r="M29" s="122">
        <v>208068</v>
      </c>
      <c r="N29" s="79" t="s">
        <v>81</v>
      </c>
    </row>
    <row r="30" spans="1:14" s="77" customFormat="1" ht="15.75" customHeight="1">
      <c r="A30" s="78" t="s">
        <v>82</v>
      </c>
      <c r="B30" s="120">
        <f>_xlfn.COMPOUNDVALUE(285)</f>
        <v>257</v>
      </c>
      <c r="C30" s="179">
        <v>112033</v>
      </c>
      <c r="D30" s="120">
        <f>_xlfn.COMPOUNDVALUE(286)</f>
        <v>311</v>
      </c>
      <c r="E30" s="179">
        <v>125607</v>
      </c>
      <c r="F30" s="120">
        <f>_xlfn.COMPOUNDVALUE(287)</f>
        <v>568</v>
      </c>
      <c r="G30" s="179">
        <v>237639</v>
      </c>
      <c r="H30" s="120">
        <f>_xlfn.COMPOUNDVALUE(288)</f>
        <v>19</v>
      </c>
      <c r="I30" s="181">
        <v>10222</v>
      </c>
      <c r="J30" s="120">
        <v>38</v>
      </c>
      <c r="K30" s="122">
        <v>14794</v>
      </c>
      <c r="L30" s="120">
        <v>597</v>
      </c>
      <c r="M30" s="122">
        <v>242211</v>
      </c>
      <c r="N30" s="79" t="s">
        <v>83</v>
      </c>
    </row>
    <row r="31" spans="1:14" s="77" customFormat="1" ht="15.75" customHeight="1">
      <c r="A31" s="80" t="s">
        <v>84</v>
      </c>
      <c r="B31" s="183">
        <v>4946</v>
      </c>
      <c r="C31" s="124">
        <v>2773648</v>
      </c>
      <c r="D31" s="123">
        <v>6658</v>
      </c>
      <c r="E31" s="124">
        <v>2635579</v>
      </c>
      <c r="F31" s="183">
        <v>11604</v>
      </c>
      <c r="G31" s="124">
        <v>5409227</v>
      </c>
      <c r="H31" s="183">
        <v>348</v>
      </c>
      <c r="I31" s="184">
        <v>236971</v>
      </c>
      <c r="J31" s="123">
        <v>876</v>
      </c>
      <c r="K31" s="125">
        <v>219111</v>
      </c>
      <c r="L31" s="123">
        <v>12311</v>
      </c>
      <c r="M31" s="125">
        <v>5391366</v>
      </c>
      <c r="N31" s="81" t="s">
        <v>85</v>
      </c>
    </row>
    <row r="32" spans="1:14" s="77" customFormat="1" ht="15.75" customHeight="1">
      <c r="A32" s="82"/>
      <c r="B32" s="128"/>
      <c r="C32" s="129"/>
      <c r="D32" s="128"/>
      <c r="E32" s="129"/>
      <c r="F32" s="130"/>
      <c r="G32" s="129"/>
      <c r="H32" s="130"/>
      <c r="I32" s="129"/>
      <c r="J32" s="130"/>
      <c r="K32" s="129"/>
      <c r="L32" s="130"/>
      <c r="M32" s="129"/>
      <c r="N32" s="83"/>
    </row>
    <row r="33" spans="1:14" s="77" customFormat="1" ht="15.75" customHeight="1">
      <c r="A33" s="75" t="s">
        <v>86</v>
      </c>
      <c r="B33" s="115">
        <f>_xlfn.COMPOUNDVALUE(289)</f>
        <v>1355</v>
      </c>
      <c r="C33" s="178">
        <v>806584</v>
      </c>
      <c r="D33" s="115">
        <f>_xlfn.COMPOUNDVALUE(290)</f>
        <v>1752</v>
      </c>
      <c r="E33" s="178">
        <v>717296</v>
      </c>
      <c r="F33" s="115">
        <f>_xlfn.COMPOUNDVALUE(291)</f>
        <v>3107</v>
      </c>
      <c r="G33" s="178">
        <v>1523880</v>
      </c>
      <c r="H33" s="115">
        <f>_xlfn.COMPOUNDVALUE(292)</f>
        <v>86</v>
      </c>
      <c r="I33" s="180">
        <v>55035</v>
      </c>
      <c r="J33" s="115">
        <v>426</v>
      </c>
      <c r="K33" s="117">
        <v>68760</v>
      </c>
      <c r="L33" s="115">
        <v>3320</v>
      </c>
      <c r="M33" s="117">
        <v>1537605</v>
      </c>
      <c r="N33" s="76" t="s">
        <v>87</v>
      </c>
    </row>
    <row r="34" spans="1:14" s="77" customFormat="1" ht="15.75" customHeight="1">
      <c r="A34" s="78" t="s">
        <v>88</v>
      </c>
      <c r="B34" s="120">
        <f>_xlfn.COMPOUNDVALUE(293)</f>
        <v>238</v>
      </c>
      <c r="C34" s="179">
        <v>180622</v>
      </c>
      <c r="D34" s="120">
        <f>_xlfn.COMPOUNDVALUE(294)</f>
        <v>818</v>
      </c>
      <c r="E34" s="179">
        <v>252163</v>
      </c>
      <c r="F34" s="120">
        <f>_xlfn.COMPOUNDVALUE(295)</f>
        <v>1056</v>
      </c>
      <c r="G34" s="179">
        <v>432785</v>
      </c>
      <c r="H34" s="120">
        <f>_xlfn.COMPOUNDVALUE(296)</f>
        <v>17</v>
      </c>
      <c r="I34" s="181">
        <v>18777</v>
      </c>
      <c r="J34" s="120">
        <v>47</v>
      </c>
      <c r="K34" s="122">
        <v>10305</v>
      </c>
      <c r="L34" s="120">
        <v>1087</v>
      </c>
      <c r="M34" s="122">
        <v>424313</v>
      </c>
      <c r="N34" s="79" t="s">
        <v>89</v>
      </c>
    </row>
    <row r="35" spans="1:14" s="77" customFormat="1" ht="15.75" customHeight="1">
      <c r="A35" s="78" t="s">
        <v>90</v>
      </c>
      <c r="B35" s="120">
        <f>_xlfn.COMPOUNDVALUE(297)</f>
        <v>408</v>
      </c>
      <c r="C35" s="179">
        <v>220936</v>
      </c>
      <c r="D35" s="120">
        <f>_xlfn.COMPOUNDVALUE(298)</f>
        <v>903</v>
      </c>
      <c r="E35" s="179">
        <v>315697</v>
      </c>
      <c r="F35" s="120">
        <f>_xlfn.COMPOUNDVALUE(299)</f>
        <v>1311</v>
      </c>
      <c r="G35" s="179">
        <v>536633</v>
      </c>
      <c r="H35" s="120">
        <f>_xlfn.COMPOUNDVALUE(300)</f>
        <v>24</v>
      </c>
      <c r="I35" s="181">
        <v>8918</v>
      </c>
      <c r="J35" s="120">
        <v>104</v>
      </c>
      <c r="K35" s="122">
        <v>38554</v>
      </c>
      <c r="L35" s="120">
        <v>1380</v>
      </c>
      <c r="M35" s="122">
        <v>566269</v>
      </c>
      <c r="N35" s="79" t="s">
        <v>91</v>
      </c>
    </row>
    <row r="36" spans="1:14" s="77" customFormat="1" ht="15.75" customHeight="1">
      <c r="A36" s="78" t="s">
        <v>92</v>
      </c>
      <c r="B36" s="120">
        <f>_xlfn.COMPOUNDVALUE(301)</f>
        <v>353</v>
      </c>
      <c r="C36" s="179">
        <v>253125</v>
      </c>
      <c r="D36" s="120">
        <f>_xlfn.COMPOUNDVALUE(302)</f>
        <v>915</v>
      </c>
      <c r="E36" s="179">
        <v>334480</v>
      </c>
      <c r="F36" s="120">
        <f>_xlfn.COMPOUNDVALUE(303)</f>
        <v>1268</v>
      </c>
      <c r="G36" s="179">
        <v>587604</v>
      </c>
      <c r="H36" s="120">
        <f>_xlfn.COMPOUNDVALUE(304)</f>
        <v>22</v>
      </c>
      <c r="I36" s="181">
        <v>23104</v>
      </c>
      <c r="J36" s="120">
        <v>80</v>
      </c>
      <c r="K36" s="122">
        <v>27328</v>
      </c>
      <c r="L36" s="120">
        <v>1327</v>
      </c>
      <c r="M36" s="122">
        <v>591828</v>
      </c>
      <c r="N36" s="79" t="s">
        <v>93</v>
      </c>
    </row>
    <row r="37" spans="1:14" s="77" customFormat="1" ht="15.75" customHeight="1">
      <c r="A37" s="78" t="s">
        <v>94</v>
      </c>
      <c r="B37" s="120">
        <f>_xlfn.COMPOUNDVALUE(305)</f>
        <v>530</v>
      </c>
      <c r="C37" s="179">
        <v>328814</v>
      </c>
      <c r="D37" s="120">
        <f>_xlfn.COMPOUNDVALUE(306)</f>
        <v>654</v>
      </c>
      <c r="E37" s="179">
        <v>235928</v>
      </c>
      <c r="F37" s="120">
        <f>_xlfn.COMPOUNDVALUE(307)</f>
        <v>1184</v>
      </c>
      <c r="G37" s="179">
        <v>564742</v>
      </c>
      <c r="H37" s="120">
        <f>_xlfn.COMPOUNDVALUE(308)</f>
        <v>32</v>
      </c>
      <c r="I37" s="181">
        <v>16360</v>
      </c>
      <c r="J37" s="120">
        <v>63</v>
      </c>
      <c r="K37" s="122">
        <v>10157</v>
      </c>
      <c r="L37" s="120">
        <v>1235</v>
      </c>
      <c r="M37" s="122">
        <v>558539</v>
      </c>
      <c r="N37" s="79" t="s">
        <v>95</v>
      </c>
    </row>
    <row r="38" spans="1:14" s="77" customFormat="1" ht="15.75" customHeight="1">
      <c r="A38" s="78" t="s">
        <v>96</v>
      </c>
      <c r="B38" s="120">
        <f>_xlfn.COMPOUNDVALUE(309)</f>
        <v>230</v>
      </c>
      <c r="C38" s="179">
        <v>129257</v>
      </c>
      <c r="D38" s="120">
        <f>_xlfn.COMPOUNDVALUE(310)</f>
        <v>616</v>
      </c>
      <c r="E38" s="179">
        <v>216655</v>
      </c>
      <c r="F38" s="120">
        <f>_xlfn.COMPOUNDVALUE(311)</f>
        <v>846</v>
      </c>
      <c r="G38" s="179">
        <v>345913</v>
      </c>
      <c r="H38" s="120">
        <f>_xlfn.COMPOUNDVALUE(312)</f>
        <v>16</v>
      </c>
      <c r="I38" s="181">
        <v>12203</v>
      </c>
      <c r="J38" s="120">
        <v>61</v>
      </c>
      <c r="K38" s="122">
        <v>13314</v>
      </c>
      <c r="L38" s="120">
        <v>887</v>
      </c>
      <c r="M38" s="122">
        <v>347024</v>
      </c>
      <c r="N38" s="79" t="s">
        <v>97</v>
      </c>
    </row>
    <row r="39" spans="1:14" s="77" customFormat="1" ht="15.75" customHeight="1">
      <c r="A39" s="80" t="s">
        <v>98</v>
      </c>
      <c r="B39" s="123">
        <v>3114</v>
      </c>
      <c r="C39" s="124">
        <v>1919339</v>
      </c>
      <c r="D39" s="123">
        <v>5658</v>
      </c>
      <c r="E39" s="124">
        <v>2072218</v>
      </c>
      <c r="F39" s="123">
        <v>8772</v>
      </c>
      <c r="G39" s="124">
        <v>3991557</v>
      </c>
      <c r="H39" s="123">
        <v>197</v>
      </c>
      <c r="I39" s="125">
        <v>134397</v>
      </c>
      <c r="J39" s="123">
        <v>781</v>
      </c>
      <c r="K39" s="125">
        <v>168417</v>
      </c>
      <c r="L39" s="123">
        <v>9236</v>
      </c>
      <c r="M39" s="125">
        <v>4025576</v>
      </c>
      <c r="N39" s="81" t="s">
        <v>99</v>
      </c>
    </row>
    <row r="40" spans="1:15" s="77" customFormat="1" ht="15.75" customHeight="1" thickBot="1">
      <c r="A40" s="84"/>
      <c r="B40" s="137"/>
      <c r="C40" s="138"/>
      <c r="D40" s="137"/>
      <c r="E40" s="138"/>
      <c r="F40" s="139"/>
      <c r="G40" s="138"/>
      <c r="H40" s="139"/>
      <c r="I40" s="138"/>
      <c r="J40" s="139"/>
      <c r="K40" s="138"/>
      <c r="L40" s="139"/>
      <c r="M40" s="138"/>
      <c r="N40" s="85"/>
      <c r="O40" s="86"/>
    </row>
    <row r="41" spans="1:14" s="77" customFormat="1" ht="15.75" customHeight="1" thickBot="1" thickTop="1">
      <c r="A41" s="87" t="s">
        <v>100</v>
      </c>
      <c r="B41" s="185">
        <v>14097</v>
      </c>
      <c r="C41" s="141">
        <v>7781503</v>
      </c>
      <c r="D41" s="140">
        <v>20762</v>
      </c>
      <c r="E41" s="141">
        <v>8011099</v>
      </c>
      <c r="F41" s="185">
        <v>34859</v>
      </c>
      <c r="G41" s="141">
        <v>15792603</v>
      </c>
      <c r="H41" s="185">
        <v>1058</v>
      </c>
      <c r="I41" s="142">
        <v>771815</v>
      </c>
      <c r="J41" s="140">
        <v>3126</v>
      </c>
      <c r="K41" s="142">
        <v>779872</v>
      </c>
      <c r="L41" s="140">
        <v>37246</v>
      </c>
      <c r="M41" s="142">
        <v>15800659</v>
      </c>
      <c r="N41" s="88" t="s">
        <v>101</v>
      </c>
    </row>
    <row r="42" spans="1:14" ht="13.5">
      <c r="A42" s="234" t="s">
        <v>162</v>
      </c>
      <c r="B42" s="234"/>
      <c r="C42" s="234"/>
      <c r="D42" s="234"/>
      <c r="E42" s="234"/>
      <c r="F42" s="234"/>
      <c r="G42" s="234"/>
      <c r="H42" s="234"/>
      <c r="I42" s="234"/>
      <c r="J42" s="89"/>
      <c r="K42" s="89"/>
      <c r="L42" s="63"/>
      <c r="M42" s="63"/>
      <c r="N42" s="63"/>
    </row>
    <row r="44" spans="2:10" ht="13.5">
      <c r="B44" s="147"/>
      <c r="C44" s="147"/>
      <c r="D44" s="147"/>
      <c r="E44" s="147"/>
      <c r="F44" s="147"/>
      <c r="G44" s="147"/>
      <c r="H44" s="147"/>
      <c r="J44" s="147"/>
    </row>
    <row r="45" spans="2:10" ht="13.5">
      <c r="B45" s="147"/>
      <c r="C45" s="147"/>
      <c r="D45" s="147"/>
      <c r="E45" s="147"/>
      <c r="F45" s="147"/>
      <c r="G45" s="147"/>
      <c r="H45" s="147"/>
      <c r="J45" s="147"/>
    </row>
    <row r="46" spans="2:10" ht="13.5">
      <c r="B46" s="147"/>
      <c r="C46" s="147"/>
      <c r="D46" s="147"/>
      <c r="E46" s="147"/>
      <c r="F46" s="147"/>
      <c r="G46" s="147"/>
      <c r="H46" s="147"/>
      <c r="J46" s="147"/>
    </row>
    <row r="47" spans="2:10" ht="13.5">
      <c r="B47" s="147"/>
      <c r="C47" s="147"/>
      <c r="D47" s="147"/>
      <c r="E47" s="147"/>
      <c r="F47" s="147"/>
      <c r="G47" s="147"/>
      <c r="H47" s="147"/>
      <c r="J47" s="147"/>
    </row>
    <row r="48" spans="2:10" ht="13.5">
      <c r="B48" s="147"/>
      <c r="C48" s="147"/>
      <c r="D48" s="147"/>
      <c r="E48" s="147"/>
      <c r="F48" s="147"/>
      <c r="G48" s="147"/>
      <c r="H48" s="147"/>
      <c r="J48" s="147"/>
    </row>
    <row r="49" spans="2:10" ht="13.5">
      <c r="B49" s="147"/>
      <c r="C49" s="147"/>
      <c r="D49" s="147"/>
      <c r="E49" s="147"/>
      <c r="F49" s="147"/>
      <c r="G49" s="147"/>
      <c r="H49" s="147"/>
      <c r="J49" s="147"/>
    </row>
    <row r="50" spans="2:10" ht="13.5">
      <c r="B50" s="147"/>
      <c r="C50" s="147"/>
      <c r="D50" s="147"/>
      <c r="E50" s="147"/>
      <c r="F50" s="147"/>
      <c r="G50" s="147"/>
      <c r="H50" s="147"/>
      <c r="J50" s="147"/>
    </row>
    <row r="51" spans="2:10" ht="13.5">
      <c r="B51" s="147"/>
      <c r="C51" s="147"/>
      <c r="D51" s="147"/>
      <c r="E51" s="147"/>
      <c r="F51" s="147"/>
      <c r="G51" s="147"/>
      <c r="H51" s="147"/>
      <c r="J51" s="147"/>
    </row>
    <row r="52" spans="2:10" ht="13.5">
      <c r="B52" s="147"/>
      <c r="C52" s="147"/>
      <c r="D52" s="147"/>
      <c r="E52" s="147"/>
      <c r="F52" s="147"/>
      <c r="G52" s="147"/>
      <c r="H52" s="147"/>
      <c r="J52" s="147"/>
    </row>
    <row r="53" spans="2:10" ht="13.5">
      <c r="B53" s="147"/>
      <c r="C53" s="147"/>
      <c r="D53" s="147"/>
      <c r="E53" s="147"/>
      <c r="F53" s="147"/>
      <c r="G53" s="147"/>
      <c r="H53" s="147"/>
      <c r="J53" s="147"/>
    </row>
    <row r="54" spans="2:10" ht="13.5">
      <c r="B54" s="147"/>
      <c r="C54" s="147"/>
      <c r="D54" s="147"/>
      <c r="E54" s="147"/>
      <c r="F54" s="147"/>
      <c r="G54" s="147"/>
      <c r="H54" s="147"/>
      <c r="J54" s="147"/>
    </row>
    <row r="55" spans="2:10" ht="13.5">
      <c r="B55" s="147"/>
      <c r="C55" s="147"/>
      <c r="D55" s="147"/>
      <c r="E55" s="147"/>
      <c r="F55" s="147"/>
      <c r="G55" s="147"/>
      <c r="H55" s="147"/>
      <c r="J55" s="147"/>
    </row>
    <row r="56" spans="2:10" ht="13.5">
      <c r="B56" s="147"/>
      <c r="C56" s="147"/>
      <c r="D56" s="147"/>
      <c r="E56" s="147"/>
      <c r="F56" s="147"/>
      <c r="G56" s="147"/>
      <c r="H56" s="147"/>
      <c r="J56" s="147"/>
    </row>
  </sheetData>
  <sheetProtection/>
  <mergeCells count="11">
    <mergeCell ref="N3:N5"/>
    <mergeCell ref="B4:C4"/>
    <mergeCell ref="D4:E4"/>
    <mergeCell ref="F4:G4"/>
    <mergeCell ref="A42:I42"/>
    <mergeCell ref="A2:G2"/>
    <mergeCell ref="A3:A5"/>
    <mergeCell ref="B3:G3"/>
    <mergeCell ref="H3:I4"/>
    <mergeCell ref="J3:K4"/>
    <mergeCell ref="L3:M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(H30)</oddFooter>
  </headerFooter>
</worksheet>
</file>

<file path=xl/worksheets/sheet5.xml><?xml version="1.0" encoding="utf-8"?>
<worksheet xmlns="http://schemas.openxmlformats.org/spreadsheetml/2006/main" xmlns:r="http://schemas.openxmlformats.org/officeDocument/2006/relationships">
  <dimension ref="A1:N42"/>
  <sheetViews>
    <sheetView zoomScaleSheetLayoutView="98" workbookViewId="0" topLeftCell="B1">
      <selection activeCell="S7" sqref="S7"/>
    </sheetView>
  </sheetViews>
  <sheetFormatPr defaultColWidth="9.00390625" defaultRowHeight="13.5"/>
  <cols>
    <col min="1" max="1" width="11.12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4" width="11.375" style="114" customWidth="1"/>
    <col min="15" max="16384" width="9.00390625" style="114" customWidth="1"/>
  </cols>
  <sheetData>
    <row r="1" spans="1:13" ht="13.5">
      <c r="A1" s="62" t="s">
        <v>167</v>
      </c>
      <c r="B1" s="62"/>
      <c r="C1" s="62"/>
      <c r="D1" s="62"/>
      <c r="E1" s="62"/>
      <c r="F1" s="62"/>
      <c r="G1" s="62"/>
      <c r="H1" s="62"/>
      <c r="I1" s="62"/>
      <c r="J1" s="62"/>
      <c r="K1" s="62"/>
      <c r="L1" s="63"/>
      <c r="M1" s="63"/>
    </row>
    <row r="2" spans="1:13" ht="14.25" thickBot="1">
      <c r="A2" s="235" t="s">
        <v>102</v>
      </c>
      <c r="B2" s="235"/>
      <c r="C2" s="235"/>
      <c r="D2" s="235"/>
      <c r="E2" s="235"/>
      <c r="F2" s="235"/>
      <c r="G2" s="235"/>
      <c r="H2" s="235"/>
      <c r="I2" s="235"/>
      <c r="J2" s="89"/>
      <c r="K2" s="89"/>
      <c r="L2" s="63"/>
      <c r="M2" s="63"/>
    </row>
    <row r="3" spans="1:14" ht="19.5" customHeight="1">
      <c r="A3" s="220" t="s">
        <v>27</v>
      </c>
      <c r="B3" s="223" t="s">
        <v>28</v>
      </c>
      <c r="C3" s="223"/>
      <c r="D3" s="223"/>
      <c r="E3" s="223"/>
      <c r="F3" s="223"/>
      <c r="G3" s="223"/>
      <c r="H3" s="224" t="s">
        <v>13</v>
      </c>
      <c r="I3" s="225"/>
      <c r="J3" s="228" t="s">
        <v>29</v>
      </c>
      <c r="K3" s="225"/>
      <c r="L3" s="224" t="s">
        <v>30</v>
      </c>
      <c r="M3" s="225"/>
      <c r="N3" s="229" t="s">
        <v>103</v>
      </c>
    </row>
    <row r="4" spans="1:14" ht="17.25" customHeight="1">
      <c r="A4" s="221"/>
      <c r="B4" s="226" t="s">
        <v>16</v>
      </c>
      <c r="C4" s="233"/>
      <c r="D4" s="226" t="s">
        <v>32</v>
      </c>
      <c r="E4" s="233"/>
      <c r="F4" s="226" t="s">
        <v>33</v>
      </c>
      <c r="G4" s="233"/>
      <c r="H4" s="226"/>
      <c r="I4" s="227"/>
      <c r="J4" s="226"/>
      <c r="K4" s="227"/>
      <c r="L4" s="226"/>
      <c r="M4" s="227"/>
      <c r="N4" s="230"/>
    </row>
    <row r="5" spans="1:14" ht="28.5" customHeight="1">
      <c r="A5" s="222"/>
      <c r="B5" s="64" t="s">
        <v>34</v>
      </c>
      <c r="C5" s="65" t="s">
        <v>35</v>
      </c>
      <c r="D5" s="64" t="s">
        <v>34</v>
      </c>
      <c r="E5" s="65" t="s">
        <v>35</v>
      </c>
      <c r="F5" s="64" t="s">
        <v>34</v>
      </c>
      <c r="G5" s="66" t="s">
        <v>36</v>
      </c>
      <c r="H5" s="64" t="s">
        <v>34</v>
      </c>
      <c r="I5" s="67" t="s">
        <v>37</v>
      </c>
      <c r="J5" s="64" t="s">
        <v>34</v>
      </c>
      <c r="K5" s="67" t="s">
        <v>38</v>
      </c>
      <c r="L5" s="64" t="s">
        <v>34</v>
      </c>
      <c r="M5" s="68" t="s">
        <v>39</v>
      </c>
      <c r="N5" s="231"/>
    </row>
    <row r="6" spans="1:14" s="90" customFormat="1" ht="10.5">
      <c r="A6" s="69"/>
      <c r="B6" s="70" t="s">
        <v>4</v>
      </c>
      <c r="C6" s="71" t="s">
        <v>5</v>
      </c>
      <c r="D6" s="70" t="s">
        <v>4</v>
      </c>
      <c r="E6" s="71" t="s">
        <v>5</v>
      </c>
      <c r="F6" s="70" t="s">
        <v>4</v>
      </c>
      <c r="G6" s="71" t="s">
        <v>5</v>
      </c>
      <c r="H6" s="70" t="s">
        <v>4</v>
      </c>
      <c r="I6" s="72" t="s">
        <v>5</v>
      </c>
      <c r="J6" s="70" t="s">
        <v>4</v>
      </c>
      <c r="K6" s="72" t="s">
        <v>5</v>
      </c>
      <c r="L6" s="70" t="s">
        <v>165</v>
      </c>
      <c r="M6" s="72" t="s">
        <v>5</v>
      </c>
      <c r="N6" s="73"/>
    </row>
    <row r="7" spans="1:14" ht="15.75" customHeight="1">
      <c r="A7" s="75" t="s">
        <v>104</v>
      </c>
      <c r="B7" s="115">
        <f>_xlfn.COMPOUNDVALUE(1)</f>
        <v>4005</v>
      </c>
      <c r="C7" s="116">
        <v>25056500</v>
      </c>
      <c r="D7" s="115">
        <f>_xlfn.COMPOUNDVALUE(2)</f>
        <v>1616</v>
      </c>
      <c r="E7" s="116">
        <v>967938</v>
      </c>
      <c r="F7" s="115">
        <f>_xlfn.COMPOUNDVALUE(3)</f>
        <v>5621</v>
      </c>
      <c r="G7" s="116">
        <v>26024438</v>
      </c>
      <c r="H7" s="115">
        <f>_xlfn.COMPOUNDVALUE(4)</f>
        <v>253</v>
      </c>
      <c r="I7" s="117">
        <v>1375864</v>
      </c>
      <c r="J7" s="115">
        <v>388</v>
      </c>
      <c r="K7" s="117">
        <v>72982</v>
      </c>
      <c r="L7" s="115">
        <v>5943</v>
      </c>
      <c r="M7" s="117">
        <v>24721556</v>
      </c>
      <c r="N7" s="92" t="s">
        <v>41</v>
      </c>
    </row>
    <row r="8" spans="1:14" ht="15.75" customHeight="1">
      <c r="A8" s="78" t="s">
        <v>105</v>
      </c>
      <c r="B8" s="120">
        <f>_xlfn.COMPOUNDVALUE(5)</f>
        <v>1296</v>
      </c>
      <c r="C8" s="121">
        <v>9123081</v>
      </c>
      <c r="D8" s="120">
        <f>_xlfn.COMPOUNDVALUE(6)</f>
        <v>536</v>
      </c>
      <c r="E8" s="121">
        <v>323901</v>
      </c>
      <c r="F8" s="120">
        <f>_xlfn.COMPOUNDVALUE(7)</f>
        <v>1832</v>
      </c>
      <c r="G8" s="121">
        <v>9446982</v>
      </c>
      <c r="H8" s="120">
        <f>_xlfn.COMPOUNDVALUE(8)</f>
        <v>90</v>
      </c>
      <c r="I8" s="122">
        <v>608541</v>
      </c>
      <c r="J8" s="120">
        <v>167</v>
      </c>
      <c r="K8" s="122">
        <v>37105</v>
      </c>
      <c r="L8" s="120">
        <v>1941</v>
      </c>
      <c r="M8" s="122">
        <v>8875546</v>
      </c>
      <c r="N8" s="79" t="s">
        <v>43</v>
      </c>
    </row>
    <row r="9" spans="1:14" ht="15.75" customHeight="1">
      <c r="A9" s="78" t="s">
        <v>106</v>
      </c>
      <c r="B9" s="120">
        <f>_xlfn.COMPOUNDVALUE(9)</f>
        <v>860</v>
      </c>
      <c r="C9" s="121">
        <v>3654971</v>
      </c>
      <c r="D9" s="120">
        <f>_xlfn.COMPOUNDVALUE(10)</f>
        <v>352</v>
      </c>
      <c r="E9" s="121">
        <v>210987</v>
      </c>
      <c r="F9" s="120">
        <f>_xlfn.COMPOUNDVALUE(11)</f>
        <v>1212</v>
      </c>
      <c r="G9" s="121">
        <v>3865958</v>
      </c>
      <c r="H9" s="120">
        <f>_xlfn.COMPOUNDVALUE(12)</f>
        <v>92</v>
      </c>
      <c r="I9" s="122">
        <v>10664576</v>
      </c>
      <c r="J9" s="120">
        <v>73</v>
      </c>
      <c r="K9" s="122">
        <v>27074</v>
      </c>
      <c r="L9" s="120">
        <v>1312</v>
      </c>
      <c r="M9" s="122">
        <v>-6771544</v>
      </c>
      <c r="N9" s="79" t="s">
        <v>45</v>
      </c>
    </row>
    <row r="10" spans="1:14" ht="15.75" customHeight="1">
      <c r="A10" s="78" t="s">
        <v>107</v>
      </c>
      <c r="B10" s="120">
        <f>_xlfn.COMPOUNDVALUE(13)</f>
        <v>656</v>
      </c>
      <c r="C10" s="121">
        <v>2209443</v>
      </c>
      <c r="D10" s="120">
        <f>_xlfn.COMPOUNDVALUE(14)</f>
        <v>301</v>
      </c>
      <c r="E10" s="121">
        <v>170546</v>
      </c>
      <c r="F10" s="120">
        <f>_xlfn.COMPOUNDVALUE(15)</f>
        <v>957</v>
      </c>
      <c r="G10" s="121">
        <v>2379989</v>
      </c>
      <c r="H10" s="120">
        <f>_xlfn.COMPOUNDVALUE(16)</f>
        <v>56</v>
      </c>
      <c r="I10" s="122">
        <v>199170</v>
      </c>
      <c r="J10" s="120">
        <v>57</v>
      </c>
      <c r="K10" s="122">
        <v>11059</v>
      </c>
      <c r="L10" s="120">
        <v>1014</v>
      </c>
      <c r="M10" s="122">
        <v>2191878</v>
      </c>
      <c r="N10" s="79" t="s">
        <v>47</v>
      </c>
    </row>
    <row r="11" spans="1:14" ht="15.75" customHeight="1">
      <c r="A11" s="78" t="s">
        <v>108</v>
      </c>
      <c r="B11" s="120">
        <f>_xlfn.COMPOUNDVALUE(17)</f>
        <v>328</v>
      </c>
      <c r="C11" s="121">
        <v>1584105</v>
      </c>
      <c r="D11" s="120">
        <f>_xlfn.COMPOUNDVALUE(18)</f>
        <v>180</v>
      </c>
      <c r="E11" s="121">
        <v>101189</v>
      </c>
      <c r="F11" s="120">
        <f>_xlfn.COMPOUNDVALUE(19)</f>
        <v>508</v>
      </c>
      <c r="G11" s="121">
        <v>1685293</v>
      </c>
      <c r="H11" s="120">
        <f>_xlfn.COMPOUNDVALUE(20)</f>
        <v>19</v>
      </c>
      <c r="I11" s="122">
        <v>37441</v>
      </c>
      <c r="J11" s="120">
        <v>22</v>
      </c>
      <c r="K11" s="122">
        <v>6967</v>
      </c>
      <c r="L11" s="120">
        <v>532</v>
      </c>
      <c r="M11" s="122">
        <v>1654819</v>
      </c>
      <c r="N11" s="79" t="s">
        <v>49</v>
      </c>
    </row>
    <row r="12" spans="1:14" ht="15.75" customHeight="1">
      <c r="A12" s="78" t="s">
        <v>109</v>
      </c>
      <c r="B12" s="120">
        <f>_xlfn.COMPOUNDVALUE(21)</f>
        <v>377</v>
      </c>
      <c r="C12" s="121">
        <v>1486884</v>
      </c>
      <c r="D12" s="120">
        <f>_xlfn.COMPOUNDVALUE(22)</f>
        <v>186</v>
      </c>
      <c r="E12" s="121">
        <v>107912</v>
      </c>
      <c r="F12" s="120">
        <f>_xlfn.COMPOUNDVALUE(23)</f>
        <v>563</v>
      </c>
      <c r="G12" s="121">
        <v>1594796</v>
      </c>
      <c r="H12" s="120">
        <f>_xlfn.COMPOUNDVALUE(24)</f>
        <v>26</v>
      </c>
      <c r="I12" s="122">
        <v>41836</v>
      </c>
      <c r="J12" s="120">
        <v>56</v>
      </c>
      <c r="K12" s="122">
        <v>20553</v>
      </c>
      <c r="L12" s="120">
        <v>593</v>
      </c>
      <c r="M12" s="122">
        <v>1573513</v>
      </c>
      <c r="N12" s="79" t="s">
        <v>51</v>
      </c>
    </row>
    <row r="13" spans="1:14" ht="15.75" customHeight="1">
      <c r="A13" s="80" t="s">
        <v>110</v>
      </c>
      <c r="B13" s="123">
        <v>7522</v>
      </c>
      <c r="C13" s="124">
        <v>43114984</v>
      </c>
      <c r="D13" s="123">
        <v>3171</v>
      </c>
      <c r="E13" s="124">
        <v>1882473</v>
      </c>
      <c r="F13" s="123">
        <v>10693</v>
      </c>
      <c r="G13" s="124">
        <v>44997457</v>
      </c>
      <c r="H13" s="123">
        <v>536</v>
      </c>
      <c r="I13" s="125">
        <v>12927428</v>
      </c>
      <c r="J13" s="123">
        <v>763</v>
      </c>
      <c r="K13" s="125">
        <v>175741</v>
      </c>
      <c r="L13" s="123">
        <v>11335</v>
      </c>
      <c r="M13" s="125">
        <v>32245770</v>
      </c>
      <c r="N13" s="81" t="s">
        <v>53</v>
      </c>
    </row>
    <row r="14" spans="1:14" ht="15.75" customHeight="1">
      <c r="A14" s="82"/>
      <c r="B14" s="128"/>
      <c r="C14" s="129"/>
      <c r="D14" s="128"/>
      <c r="E14" s="129"/>
      <c r="F14" s="130"/>
      <c r="G14" s="129"/>
      <c r="H14" s="130"/>
      <c r="I14" s="129"/>
      <c r="J14" s="130"/>
      <c r="K14" s="129"/>
      <c r="L14" s="130"/>
      <c r="M14" s="129"/>
      <c r="N14" s="83"/>
    </row>
    <row r="15" spans="1:14" ht="15.75" customHeight="1">
      <c r="A15" s="75" t="s">
        <v>111</v>
      </c>
      <c r="B15" s="115">
        <f>_xlfn.COMPOUNDVALUE(25)</f>
        <v>5308</v>
      </c>
      <c r="C15" s="116">
        <v>53675803</v>
      </c>
      <c r="D15" s="115">
        <f>_xlfn.COMPOUNDVALUE(26)</f>
        <v>2482</v>
      </c>
      <c r="E15" s="116">
        <v>1419711</v>
      </c>
      <c r="F15" s="115">
        <f>_xlfn.COMPOUNDVALUE(27)</f>
        <v>7790</v>
      </c>
      <c r="G15" s="116">
        <v>55095514</v>
      </c>
      <c r="H15" s="115">
        <f>_xlfn.COMPOUNDVALUE(28)</f>
        <v>353</v>
      </c>
      <c r="I15" s="117">
        <v>3734198</v>
      </c>
      <c r="J15" s="115">
        <v>608</v>
      </c>
      <c r="K15" s="117">
        <v>238455</v>
      </c>
      <c r="L15" s="115">
        <v>8209</v>
      </c>
      <c r="M15" s="117">
        <v>51599771</v>
      </c>
      <c r="N15" s="76" t="s">
        <v>55</v>
      </c>
    </row>
    <row r="16" spans="1:14" ht="15.75" customHeight="1">
      <c r="A16" s="78" t="s">
        <v>112</v>
      </c>
      <c r="B16" s="120">
        <f>_xlfn.COMPOUNDVALUE(29)</f>
        <v>1766</v>
      </c>
      <c r="C16" s="121">
        <v>10513506</v>
      </c>
      <c r="D16" s="120">
        <f>_xlfn.COMPOUNDVALUE(30)</f>
        <v>799</v>
      </c>
      <c r="E16" s="121">
        <v>457528</v>
      </c>
      <c r="F16" s="120">
        <f>_xlfn.COMPOUNDVALUE(31)</f>
        <v>2565</v>
      </c>
      <c r="G16" s="121">
        <v>10971034</v>
      </c>
      <c r="H16" s="120">
        <f>_xlfn.COMPOUNDVALUE(32)</f>
        <v>129</v>
      </c>
      <c r="I16" s="122">
        <v>176628</v>
      </c>
      <c r="J16" s="120">
        <v>182</v>
      </c>
      <c r="K16" s="122">
        <v>47745</v>
      </c>
      <c r="L16" s="120">
        <v>2708</v>
      </c>
      <c r="M16" s="122">
        <v>10842151</v>
      </c>
      <c r="N16" s="79" t="s">
        <v>57</v>
      </c>
    </row>
    <row r="17" spans="1:14" ht="15.75" customHeight="1">
      <c r="A17" s="78" t="s">
        <v>113</v>
      </c>
      <c r="B17" s="120">
        <f>_xlfn.COMPOUNDVALUE(33)</f>
        <v>1034</v>
      </c>
      <c r="C17" s="121">
        <v>5529604</v>
      </c>
      <c r="D17" s="120">
        <f>_xlfn.COMPOUNDVALUE(34)</f>
        <v>393</v>
      </c>
      <c r="E17" s="121">
        <v>228369</v>
      </c>
      <c r="F17" s="120">
        <f>_xlfn.COMPOUNDVALUE(35)</f>
        <v>1427</v>
      </c>
      <c r="G17" s="121">
        <v>5757973</v>
      </c>
      <c r="H17" s="120">
        <f>_xlfn.COMPOUNDVALUE(36)</f>
        <v>70</v>
      </c>
      <c r="I17" s="122">
        <v>365755</v>
      </c>
      <c r="J17" s="120">
        <v>135</v>
      </c>
      <c r="K17" s="122">
        <v>-13353</v>
      </c>
      <c r="L17" s="120">
        <v>1515</v>
      </c>
      <c r="M17" s="122">
        <v>5378865</v>
      </c>
      <c r="N17" s="79" t="s">
        <v>59</v>
      </c>
    </row>
    <row r="18" spans="1:14" ht="15.75" customHeight="1">
      <c r="A18" s="78" t="s">
        <v>114</v>
      </c>
      <c r="B18" s="120">
        <f>_xlfn.COMPOUNDVALUE(37)</f>
        <v>1269</v>
      </c>
      <c r="C18" s="121">
        <v>8364908</v>
      </c>
      <c r="D18" s="120">
        <f>_xlfn.COMPOUNDVALUE(38)</f>
        <v>494</v>
      </c>
      <c r="E18" s="121">
        <v>274052</v>
      </c>
      <c r="F18" s="120">
        <f>_xlfn.COMPOUNDVALUE(39)</f>
        <v>1763</v>
      </c>
      <c r="G18" s="121">
        <v>8638960</v>
      </c>
      <c r="H18" s="120">
        <f>_xlfn.COMPOUNDVALUE(40)</f>
        <v>69</v>
      </c>
      <c r="I18" s="122">
        <v>570117</v>
      </c>
      <c r="J18" s="120">
        <v>165</v>
      </c>
      <c r="K18" s="122">
        <v>98398</v>
      </c>
      <c r="L18" s="120">
        <v>1845</v>
      </c>
      <c r="M18" s="122">
        <v>8167241</v>
      </c>
      <c r="N18" s="79" t="s">
        <v>61</v>
      </c>
    </row>
    <row r="19" spans="1:14" ht="15.75" customHeight="1">
      <c r="A19" s="78" t="s">
        <v>141</v>
      </c>
      <c r="B19" s="120">
        <f>_xlfn.COMPOUNDVALUE(41)</f>
        <v>715</v>
      </c>
      <c r="C19" s="121">
        <v>3443937</v>
      </c>
      <c r="D19" s="120">
        <f>_xlfn.COMPOUNDVALUE(42)</f>
        <v>272</v>
      </c>
      <c r="E19" s="121">
        <v>146479</v>
      </c>
      <c r="F19" s="120">
        <f>_xlfn.COMPOUNDVALUE(43)</f>
        <v>987</v>
      </c>
      <c r="G19" s="121">
        <v>3590415</v>
      </c>
      <c r="H19" s="120">
        <f>_xlfn.COMPOUNDVALUE(44)</f>
        <v>63</v>
      </c>
      <c r="I19" s="122">
        <v>498343</v>
      </c>
      <c r="J19" s="120">
        <v>60</v>
      </c>
      <c r="K19" s="122">
        <v>2804</v>
      </c>
      <c r="L19" s="120">
        <v>1059</v>
      </c>
      <c r="M19" s="122">
        <v>3094876</v>
      </c>
      <c r="N19" s="79" t="s">
        <v>63</v>
      </c>
    </row>
    <row r="20" spans="1:14" ht="15.75" customHeight="1">
      <c r="A20" s="78" t="s">
        <v>142</v>
      </c>
      <c r="B20" s="120">
        <f>_xlfn.COMPOUNDVALUE(45)</f>
        <v>400</v>
      </c>
      <c r="C20" s="121">
        <v>1724716</v>
      </c>
      <c r="D20" s="120">
        <f>_xlfn.COMPOUNDVALUE(46)</f>
        <v>176</v>
      </c>
      <c r="E20" s="121">
        <v>92071</v>
      </c>
      <c r="F20" s="120">
        <f>_xlfn.COMPOUNDVALUE(47)</f>
        <v>576</v>
      </c>
      <c r="G20" s="121">
        <v>1816786</v>
      </c>
      <c r="H20" s="120">
        <f>_xlfn.COMPOUNDVALUE(48)</f>
        <v>32</v>
      </c>
      <c r="I20" s="122">
        <v>63614</v>
      </c>
      <c r="J20" s="120">
        <v>28</v>
      </c>
      <c r="K20" s="122">
        <v>49513</v>
      </c>
      <c r="L20" s="120">
        <v>609</v>
      </c>
      <c r="M20" s="122">
        <v>1802685</v>
      </c>
      <c r="N20" s="79" t="s">
        <v>65</v>
      </c>
    </row>
    <row r="21" spans="1:14" ht="15.75" customHeight="1">
      <c r="A21" s="80" t="s">
        <v>143</v>
      </c>
      <c r="B21" s="123">
        <v>10492</v>
      </c>
      <c r="C21" s="124">
        <v>83252473</v>
      </c>
      <c r="D21" s="123">
        <v>4616</v>
      </c>
      <c r="E21" s="124">
        <v>2618209</v>
      </c>
      <c r="F21" s="123">
        <v>15108</v>
      </c>
      <c r="G21" s="124">
        <v>85870682</v>
      </c>
      <c r="H21" s="123">
        <v>716</v>
      </c>
      <c r="I21" s="125">
        <v>5408655</v>
      </c>
      <c r="J21" s="123">
        <v>1178</v>
      </c>
      <c r="K21" s="125">
        <v>423562</v>
      </c>
      <c r="L21" s="123">
        <v>15945</v>
      </c>
      <c r="M21" s="125">
        <v>80885589</v>
      </c>
      <c r="N21" s="81" t="s">
        <v>67</v>
      </c>
    </row>
    <row r="22" spans="1:14" ht="15.75" customHeight="1">
      <c r="A22" s="82"/>
      <c r="B22" s="128"/>
      <c r="C22" s="129"/>
      <c r="D22" s="128"/>
      <c r="E22" s="129"/>
      <c r="F22" s="130"/>
      <c r="G22" s="129"/>
      <c r="H22" s="130"/>
      <c r="I22" s="129"/>
      <c r="J22" s="130"/>
      <c r="K22" s="129"/>
      <c r="L22" s="130"/>
      <c r="M22" s="129"/>
      <c r="N22" s="83"/>
    </row>
    <row r="23" spans="1:14" ht="15.75" customHeight="1">
      <c r="A23" s="75" t="s">
        <v>144</v>
      </c>
      <c r="B23" s="115">
        <f>_xlfn.COMPOUNDVALUE(49)</f>
        <v>6097</v>
      </c>
      <c r="C23" s="116">
        <v>44241074</v>
      </c>
      <c r="D23" s="115">
        <f>_xlfn.COMPOUNDVALUE(50)</f>
        <v>2607</v>
      </c>
      <c r="E23" s="116">
        <v>1645444</v>
      </c>
      <c r="F23" s="115">
        <f>_xlfn.COMPOUNDVALUE(51)</f>
        <v>8704</v>
      </c>
      <c r="G23" s="116">
        <v>45886518</v>
      </c>
      <c r="H23" s="115">
        <f>_xlfn.COMPOUNDVALUE(52)</f>
        <v>412</v>
      </c>
      <c r="I23" s="117">
        <v>2754642</v>
      </c>
      <c r="J23" s="115">
        <v>677</v>
      </c>
      <c r="K23" s="117">
        <v>144665</v>
      </c>
      <c r="L23" s="115">
        <v>9170</v>
      </c>
      <c r="M23" s="117">
        <v>43276541</v>
      </c>
      <c r="N23" s="76" t="s">
        <v>69</v>
      </c>
    </row>
    <row r="24" spans="1:14" ht="15.75" customHeight="1">
      <c r="A24" s="78" t="s">
        <v>145</v>
      </c>
      <c r="B24" s="120">
        <f>_xlfn.COMPOUNDVALUE(53)</f>
        <v>1987</v>
      </c>
      <c r="C24" s="121">
        <v>16679981</v>
      </c>
      <c r="D24" s="120">
        <f>_xlfn.COMPOUNDVALUE(54)</f>
        <v>870</v>
      </c>
      <c r="E24" s="121">
        <v>548684</v>
      </c>
      <c r="F24" s="120">
        <f>_xlfn.COMPOUNDVALUE(55)</f>
        <v>2857</v>
      </c>
      <c r="G24" s="121">
        <v>17228665</v>
      </c>
      <c r="H24" s="120">
        <f>_xlfn.COMPOUNDVALUE(56)</f>
        <v>259</v>
      </c>
      <c r="I24" s="122">
        <v>32059753</v>
      </c>
      <c r="J24" s="120">
        <v>207</v>
      </c>
      <c r="K24" s="122">
        <v>-36723</v>
      </c>
      <c r="L24" s="120">
        <v>3132</v>
      </c>
      <c r="M24" s="122">
        <v>-14867811</v>
      </c>
      <c r="N24" s="79" t="s">
        <v>71</v>
      </c>
    </row>
    <row r="25" spans="1:14" ht="15.75" customHeight="1">
      <c r="A25" s="78" t="s">
        <v>146</v>
      </c>
      <c r="B25" s="120">
        <f>_xlfn.COMPOUNDVALUE(57)</f>
        <v>970</v>
      </c>
      <c r="C25" s="121">
        <v>4615190</v>
      </c>
      <c r="D25" s="120">
        <f>_xlfn.COMPOUNDVALUE(58)</f>
        <v>435</v>
      </c>
      <c r="E25" s="121">
        <v>244527</v>
      </c>
      <c r="F25" s="120">
        <f>_xlfn.COMPOUNDVALUE(59)</f>
        <v>1405</v>
      </c>
      <c r="G25" s="121">
        <v>4859717</v>
      </c>
      <c r="H25" s="120">
        <f>_xlfn.COMPOUNDVALUE(60)</f>
        <v>81</v>
      </c>
      <c r="I25" s="122">
        <v>793709</v>
      </c>
      <c r="J25" s="120">
        <v>96</v>
      </c>
      <c r="K25" s="122">
        <v>28198</v>
      </c>
      <c r="L25" s="120">
        <v>1494</v>
      </c>
      <c r="M25" s="122">
        <v>4094206</v>
      </c>
      <c r="N25" s="79" t="s">
        <v>73</v>
      </c>
    </row>
    <row r="26" spans="1:14" ht="15.75" customHeight="1">
      <c r="A26" s="78" t="s">
        <v>147</v>
      </c>
      <c r="B26" s="120">
        <f>_xlfn.COMPOUNDVALUE(61)</f>
        <v>730</v>
      </c>
      <c r="C26" s="121">
        <v>3445429</v>
      </c>
      <c r="D26" s="120">
        <f>_xlfn.COMPOUNDVALUE(62)</f>
        <v>353</v>
      </c>
      <c r="E26" s="121">
        <v>181483</v>
      </c>
      <c r="F26" s="120">
        <f>_xlfn.COMPOUNDVALUE(63)</f>
        <v>1083</v>
      </c>
      <c r="G26" s="121">
        <v>3626912</v>
      </c>
      <c r="H26" s="120">
        <f>_xlfn.COMPOUNDVALUE(64)</f>
        <v>45</v>
      </c>
      <c r="I26" s="122">
        <v>274281</v>
      </c>
      <c r="J26" s="120">
        <v>52</v>
      </c>
      <c r="K26" s="122">
        <v>18005</v>
      </c>
      <c r="L26" s="120">
        <v>1137</v>
      </c>
      <c r="M26" s="122">
        <v>3370636</v>
      </c>
      <c r="N26" s="79" t="s">
        <v>75</v>
      </c>
    </row>
    <row r="27" spans="1:14" ht="15.75" customHeight="1">
      <c r="A27" s="78" t="s">
        <v>148</v>
      </c>
      <c r="B27" s="120">
        <f>_xlfn.COMPOUNDVALUE(65)</f>
        <v>1099</v>
      </c>
      <c r="C27" s="121">
        <v>8424071</v>
      </c>
      <c r="D27" s="120">
        <f>_xlfn.COMPOUNDVALUE(66)</f>
        <v>474</v>
      </c>
      <c r="E27" s="121">
        <v>312575</v>
      </c>
      <c r="F27" s="120">
        <f>_xlfn.COMPOUNDVALUE(67)</f>
        <v>1573</v>
      </c>
      <c r="G27" s="121">
        <v>8736646</v>
      </c>
      <c r="H27" s="120">
        <f>_xlfn.COMPOUNDVALUE(68)</f>
        <v>44</v>
      </c>
      <c r="I27" s="122">
        <v>395377</v>
      </c>
      <c r="J27" s="120">
        <v>117</v>
      </c>
      <c r="K27" s="122">
        <v>16534</v>
      </c>
      <c r="L27" s="120">
        <v>1634</v>
      </c>
      <c r="M27" s="122">
        <v>8357803</v>
      </c>
      <c r="N27" s="79" t="s">
        <v>77</v>
      </c>
    </row>
    <row r="28" spans="1:14" ht="15.75" customHeight="1">
      <c r="A28" s="78" t="s">
        <v>149</v>
      </c>
      <c r="B28" s="120">
        <f>_xlfn.COMPOUNDVALUE(69)</f>
        <v>970</v>
      </c>
      <c r="C28" s="121">
        <v>5137398</v>
      </c>
      <c r="D28" s="120">
        <f>_xlfn.COMPOUNDVALUE(70)</f>
        <v>506</v>
      </c>
      <c r="E28" s="121">
        <v>314089</v>
      </c>
      <c r="F28" s="120">
        <f>_xlfn.COMPOUNDVALUE(71)</f>
        <v>1476</v>
      </c>
      <c r="G28" s="121">
        <v>5451487</v>
      </c>
      <c r="H28" s="120">
        <f>_xlfn.COMPOUNDVALUE(72)</f>
        <v>70</v>
      </c>
      <c r="I28" s="122">
        <v>352084</v>
      </c>
      <c r="J28" s="120">
        <v>86</v>
      </c>
      <c r="K28" s="122">
        <v>8965</v>
      </c>
      <c r="L28" s="120">
        <v>1555</v>
      </c>
      <c r="M28" s="122">
        <v>5108368</v>
      </c>
      <c r="N28" s="79" t="s">
        <v>79</v>
      </c>
    </row>
    <row r="29" spans="1:14" ht="15.75" customHeight="1">
      <c r="A29" s="78" t="s">
        <v>150</v>
      </c>
      <c r="B29" s="120">
        <f>_xlfn.COMPOUNDVALUE(73)</f>
        <v>505</v>
      </c>
      <c r="C29" s="121">
        <v>2802058</v>
      </c>
      <c r="D29" s="120">
        <f>_xlfn.COMPOUNDVALUE(74)</f>
        <v>240</v>
      </c>
      <c r="E29" s="121">
        <v>137750</v>
      </c>
      <c r="F29" s="120">
        <f>_xlfn.COMPOUNDVALUE(75)</f>
        <v>745</v>
      </c>
      <c r="G29" s="121">
        <v>2939807</v>
      </c>
      <c r="H29" s="120">
        <f>_xlfn.COMPOUNDVALUE(76)</f>
        <v>52</v>
      </c>
      <c r="I29" s="122">
        <v>188295</v>
      </c>
      <c r="J29" s="120">
        <v>26</v>
      </c>
      <c r="K29" s="122">
        <v>4309</v>
      </c>
      <c r="L29" s="120">
        <v>797</v>
      </c>
      <c r="M29" s="122">
        <v>2755821</v>
      </c>
      <c r="N29" s="79" t="s">
        <v>81</v>
      </c>
    </row>
    <row r="30" spans="1:14" ht="15.75" customHeight="1">
      <c r="A30" s="78" t="s">
        <v>151</v>
      </c>
      <c r="B30" s="120">
        <f>_xlfn.COMPOUNDVALUE(77)</f>
        <v>1072</v>
      </c>
      <c r="C30" s="121">
        <v>15015348</v>
      </c>
      <c r="D30" s="120">
        <f>_xlfn.COMPOUNDVALUE(78)</f>
        <v>361</v>
      </c>
      <c r="E30" s="121">
        <v>201898</v>
      </c>
      <c r="F30" s="120">
        <f>_xlfn.COMPOUNDVALUE(79)</f>
        <v>1433</v>
      </c>
      <c r="G30" s="121">
        <v>15217245</v>
      </c>
      <c r="H30" s="120">
        <f>_xlfn.COMPOUNDVALUE(80)</f>
        <v>62</v>
      </c>
      <c r="I30" s="122">
        <v>469382</v>
      </c>
      <c r="J30" s="120">
        <v>116</v>
      </c>
      <c r="K30" s="122">
        <v>145738</v>
      </c>
      <c r="L30" s="120">
        <v>1505</v>
      </c>
      <c r="M30" s="122">
        <v>14893601</v>
      </c>
      <c r="N30" s="79" t="s">
        <v>83</v>
      </c>
    </row>
    <row r="31" spans="1:14" ht="15.75" customHeight="1">
      <c r="A31" s="80" t="s">
        <v>152</v>
      </c>
      <c r="B31" s="123">
        <v>13430</v>
      </c>
      <c r="C31" s="124">
        <v>100360548</v>
      </c>
      <c r="D31" s="123">
        <v>5846</v>
      </c>
      <c r="E31" s="124">
        <v>3586450</v>
      </c>
      <c r="F31" s="123">
        <v>19276</v>
      </c>
      <c r="G31" s="124">
        <v>103946998</v>
      </c>
      <c r="H31" s="123">
        <v>1025</v>
      </c>
      <c r="I31" s="125">
        <v>37287525</v>
      </c>
      <c r="J31" s="123">
        <v>1377</v>
      </c>
      <c r="K31" s="125">
        <v>329689</v>
      </c>
      <c r="L31" s="123">
        <v>20424</v>
      </c>
      <c r="M31" s="125">
        <v>66989162</v>
      </c>
      <c r="N31" s="81" t="s">
        <v>85</v>
      </c>
    </row>
    <row r="32" spans="1:14" ht="15.75" customHeight="1">
      <c r="A32" s="82"/>
      <c r="B32" s="128"/>
      <c r="C32" s="129"/>
      <c r="D32" s="128"/>
      <c r="E32" s="129"/>
      <c r="F32" s="130"/>
      <c r="G32" s="129"/>
      <c r="H32" s="130"/>
      <c r="I32" s="129"/>
      <c r="J32" s="130"/>
      <c r="K32" s="129"/>
      <c r="L32" s="130"/>
      <c r="M32" s="129"/>
      <c r="N32" s="83"/>
    </row>
    <row r="33" spans="1:14" ht="15.75" customHeight="1">
      <c r="A33" s="75" t="s">
        <v>153</v>
      </c>
      <c r="B33" s="115">
        <f>_xlfn.COMPOUNDVALUE(81)</f>
        <v>3568</v>
      </c>
      <c r="C33" s="116">
        <v>26400246</v>
      </c>
      <c r="D33" s="115">
        <f>_xlfn.COMPOUNDVALUE(82)</f>
        <v>1401</v>
      </c>
      <c r="E33" s="116">
        <v>873040</v>
      </c>
      <c r="F33" s="115">
        <f>_xlfn.COMPOUNDVALUE(83)</f>
        <v>4969</v>
      </c>
      <c r="G33" s="116">
        <v>27273286</v>
      </c>
      <c r="H33" s="115">
        <f>_xlfn.COMPOUNDVALUE(84)</f>
        <v>168</v>
      </c>
      <c r="I33" s="117">
        <v>825272</v>
      </c>
      <c r="J33" s="115">
        <v>284</v>
      </c>
      <c r="K33" s="117">
        <v>18328</v>
      </c>
      <c r="L33" s="115">
        <v>5194</v>
      </c>
      <c r="M33" s="117">
        <v>26466342</v>
      </c>
      <c r="N33" s="76" t="s">
        <v>87</v>
      </c>
    </row>
    <row r="34" spans="1:14" ht="15.75" customHeight="1">
      <c r="A34" s="78" t="s">
        <v>154</v>
      </c>
      <c r="B34" s="120">
        <f>_xlfn.COMPOUNDVALUE(85)</f>
        <v>342</v>
      </c>
      <c r="C34" s="121">
        <v>1347173</v>
      </c>
      <c r="D34" s="120">
        <f>_xlfn.COMPOUNDVALUE(86)</f>
        <v>145</v>
      </c>
      <c r="E34" s="121">
        <v>81083</v>
      </c>
      <c r="F34" s="120">
        <f>_xlfn.COMPOUNDVALUE(87)</f>
        <v>487</v>
      </c>
      <c r="G34" s="121">
        <v>1428256</v>
      </c>
      <c r="H34" s="120">
        <f>_xlfn.COMPOUNDVALUE(88)</f>
        <v>21</v>
      </c>
      <c r="I34" s="122">
        <v>25137</v>
      </c>
      <c r="J34" s="120">
        <v>36</v>
      </c>
      <c r="K34" s="122">
        <v>7709</v>
      </c>
      <c r="L34" s="120">
        <v>514</v>
      </c>
      <c r="M34" s="122">
        <v>1410828</v>
      </c>
      <c r="N34" s="79" t="s">
        <v>89</v>
      </c>
    </row>
    <row r="35" spans="1:14" ht="15.75" customHeight="1">
      <c r="A35" s="78" t="s">
        <v>155</v>
      </c>
      <c r="B35" s="120">
        <f>_xlfn.COMPOUNDVALUE(89)</f>
        <v>835</v>
      </c>
      <c r="C35" s="121">
        <v>4876090</v>
      </c>
      <c r="D35" s="120">
        <f>_xlfn.COMPOUNDVALUE(90)</f>
        <v>279</v>
      </c>
      <c r="E35" s="121">
        <v>167428</v>
      </c>
      <c r="F35" s="120">
        <f>_xlfn.COMPOUNDVALUE(91)</f>
        <v>1114</v>
      </c>
      <c r="G35" s="121">
        <v>5043519</v>
      </c>
      <c r="H35" s="120">
        <f>_xlfn.COMPOUNDVALUE(92)</f>
        <v>49</v>
      </c>
      <c r="I35" s="122">
        <v>580807</v>
      </c>
      <c r="J35" s="120">
        <v>64</v>
      </c>
      <c r="K35" s="122">
        <v>13184</v>
      </c>
      <c r="L35" s="120">
        <v>1181</v>
      </c>
      <c r="M35" s="122">
        <v>4475896</v>
      </c>
      <c r="N35" s="79" t="s">
        <v>91</v>
      </c>
    </row>
    <row r="36" spans="1:14" ht="15.75" customHeight="1">
      <c r="A36" s="78" t="s">
        <v>156</v>
      </c>
      <c r="B36" s="120">
        <f>_xlfn.COMPOUNDVALUE(93)</f>
        <v>591</v>
      </c>
      <c r="C36" s="121">
        <v>2223685</v>
      </c>
      <c r="D36" s="120">
        <f>_xlfn.COMPOUNDVALUE(94)</f>
        <v>241</v>
      </c>
      <c r="E36" s="121">
        <v>151040</v>
      </c>
      <c r="F36" s="120">
        <f>_xlfn.COMPOUNDVALUE(95)</f>
        <v>832</v>
      </c>
      <c r="G36" s="121">
        <v>2374725</v>
      </c>
      <c r="H36" s="120">
        <f>_xlfn.COMPOUNDVALUE(96)</f>
        <v>28</v>
      </c>
      <c r="I36" s="122">
        <v>125632</v>
      </c>
      <c r="J36" s="120">
        <v>71</v>
      </c>
      <c r="K36" s="122">
        <v>3662</v>
      </c>
      <c r="L36" s="120">
        <v>868</v>
      </c>
      <c r="M36" s="122">
        <v>2252755</v>
      </c>
      <c r="N36" s="79" t="s">
        <v>93</v>
      </c>
    </row>
    <row r="37" spans="1:14" ht="15.75" customHeight="1">
      <c r="A37" s="78" t="s">
        <v>157</v>
      </c>
      <c r="B37" s="120">
        <f>_xlfn.COMPOUNDVALUE(97)</f>
        <v>688</v>
      </c>
      <c r="C37" s="121">
        <v>3042297</v>
      </c>
      <c r="D37" s="120">
        <f>_xlfn.COMPOUNDVALUE(98)</f>
        <v>275</v>
      </c>
      <c r="E37" s="121">
        <v>184955</v>
      </c>
      <c r="F37" s="120">
        <f>_xlfn.COMPOUNDVALUE(99)</f>
        <v>963</v>
      </c>
      <c r="G37" s="121">
        <v>3227252</v>
      </c>
      <c r="H37" s="120">
        <f>_xlfn.COMPOUNDVALUE(100)</f>
        <v>32</v>
      </c>
      <c r="I37" s="122">
        <v>106422</v>
      </c>
      <c r="J37" s="120">
        <v>67</v>
      </c>
      <c r="K37" s="122">
        <v>14875</v>
      </c>
      <c r="L37" s="120">
        <v>1016</v>
      </c>
      <c r="M37" s="122">
        <v>3135705</v>
      </c>
      <c r="N37" s="79" t="s">
        <v>95</v>
      </c>
    </row>
    <row r="38" spans="1:14" ht="15.75" customHeight="1">
      <c r="A38" s="78" t="s">
        <v>158</v>
      </c>
      <c r="B38" s="120">
        <f>_xlfn.COMPOUNDVALUE(101)</f>
        <v>457</v>
      </c>
      <c r="C38" s="121">
        <v>2207630</v>
      </c>
      <c r="D38" s="120">
        <f>_xlfn.COMPOUNDVALUE(102)</f>
        <v>185</v>
      </c>
      <c r="E38" s="121">
        <v>106602</v>
      </c>
      <c r="F38" s="120">
        <f>_xlfn.COMPOUNDVALUE(103)</f>
        <v>642</v>
      </c>
      <c r="G38" s="121">
        <v>2314233</v>
      </c>
      <c r="H38" s="120">
        <f>_xlfn.COMPOUNDVALUE(104)</f>
        <v>27</v>
      </c>
      <c r="I38" s="122">
        <v>184113</v>
      </c>
      <c r="J38" s="120">
        <v>48</v>
      </c>
      <c r="K38" s="122">
        <v>6951</v>
      </c>
      <c r="L38" s="120">
        <v>675</v>
      </c>
      <c r="M38" s="122">
        <v>2137071</v>
      </c>
      <c r="N38" s="79" t="s">
        <v>97</v>
      </c>
    </row>
    <row r="39" spans="1:14" ht="15.75" customHeight="1">
      <c r="A39" s="80" t="s">
        <v>159</v>
      </c>
      <c r="B39" s="123">
        <v>6481</v>
      </c>
      <c r="C39" s="124">
        <v>40097122</v>
      </c>
      <c r="D39" s="123">
        <v>2526</v>
      </c>
      <c r="E39" s="124">
        <v>1564149</v>
      </c>
      <c r="F39" s="123">
        <v>9007</v>
      </c>
      <c r="G39" s="124">
        <v>41661271</v>
      </c>
      <c r="H39" s="123">
        <v>325</v>
      </c>
      <c r="I39" s="125">
        <v>1847384</v>
      </c>
      <c r="J39" s="123">
        <v>570</v>
      </c>
      <c r="K39" s="125">
        <v>64709</v>
      </c>
      <c r="L39" s="123">
        <v>9448</v>
      </c>
      <c r="M39" s="125">
        <v>39878595</v>
      </c>
      <c r="N39" s="81" t="s">
        <v>99</v>
      </c>
    </row>
    <row r="40" spans="1:14" ht="15.75" customHeight="1" thickBot="1">
      <c r="A40" s="84"/>
      <c r="B40" s="137"/>
      <c r="C40" s="138"/>
      <c r="D40" s="137"/>
      <c r="E40" s="138"/>
      <c r="F40" s="139"/>
      <c r="G40" s="138"/>
      <c r="H40" s="139"/>
      <c r="I40" s="138"/>
      <c r="J40" s="139"/>
      <c r="K40" s="138"/>
      <c r="L40" s="139"/>
      <c r="M40" s="138"/>
      <c r="N40" s="85"/>
    </row>
    <row r="41" spans="1:14" ht="15.75" customHeight="1" thickBot="1" thickTop="1">
      <c r="A41" s="87" t="s">
        <v>160</v>
      </c>
      <c r="B41" s="140">
        <v>37925</v>
      </c>
      <c r="C41" s="141">
        <v>266825126</v>
      </c>
      <c r="D41" s="140">
        <v>16159</v>
      </c>
      <c r="E41" s="141">
        <v>9651281</v>
      </c>
      <c r="F41" s="140">
        <v>54084</v>
      </c>
      <c r="G41" s="141">
        <v>276476407</v>
      </c>
      <c r="H41" s="140">
        <v>2602</v>
      </c>
      <c r="I41" s="142">
        <v>57470992</v>
      </c>
      <c r="J41" s="140">
        <v>3888</v>
      </c>
      <c r="K41" s="142">
        <v>993701</v>
      </c>
      <c r="L41" s="140">
        <v>57152</v>
      </c>
      <c r="M41" s="142">
        <v>219999116</v>
      </c>
      <c r="N41" s="88" t="s">
        <v>101</v>
      </c>
    </row>
    <row r="42" spans="1:14" ht="13.5">
      <c r="A42" s="234" t="s">
        <v>162</v>
      </c>
      <c r="B42" s="234"/>
      <c r="C42" s="234"/>
      <c r="D42" s="234"/>
      <c r="E42" s="234"/>
      <c r="F42" s="234"/>
      <c r="G42" s="234"/>
      <c r="H42" s="234"/>
      <c r="I42" s="234"/>
      <c r="J42" s="89"/>
      <c r="K42" s="89"/>
      <c r="L42" s="63"/>
      <c r="M42" s="63"/>
      <c r="N42" s="63"/>
    </row>
  </sheetData>
  <sheetProtection/>
  <mergeCells count="11">
    <mergeCell ref="N3:N5"/>
    <mergeCell ref="B4:C4"/>
    <mergeCell ref="D4:E4"/>
    <mergeCell ref="F4:G4"/>
    <mergeCell ref="A42:I42"/>
    <mergeCell ref="A2:I2"/>
    <mergeCell ref="A3:A5"/>
    <mergeCell ref="B3:G3"/>
    <mergeCell ref="H3:I4"/>
    <mergeCell ref="J3:K4"/>
    <mergeCell ref="L3:M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(H30)</oddFooter>
  </headerFooter>
</worksheet>
</file>

<file path=xl/worksheets/sheet6.xml><?xml version="1.0" encoding="utf-8"?>
<worksheet xmlns="http://schemas.openxmlformats.org/spreadsheetml/2006/main" xmlns:r="http://schemas.openxmlformats.org/officeDocument/2006/relationships">
  <dimension ref="A1:S42"/>
  <sheetViews>
    <sheetView zoomScaleSheetLayoutView="86" workbookViewId="0" topLeftCell="H23">
      <selection activeCell="S7" sqref="S7"/>
    </sheetView>
  </sheetViews>
  <sheetFormatPr defaultColWidth="9.00390625" defaultRowHeight="13.5"/>
  <cols>
    <col min="1" max="1" width="10.37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7" width="10.625" style="114" customWidth="1"/>
    <col min="18" max="18" width="10.375" style="114" customWidth="1"/>
    <col min="19" max="16384" width="9.00390625" style="114" customWidth="1"/>
  </cols>
  <sheetData>
    <row r="1" spans="1:16" ht="13.5">
      <c r="A1" s="62" t="s">
        <v>167</v>
      </c>
      <c r="B1" s="62"/>
      <c r="C1" s="62"/>
      <c r="D1" s="62"/>
      <c r="E1" s="62"/>
      <c r="F1" s="62"/>
      <c r="G1" s="62"/>
      <c r="H1" s="62"/>
      <c r="I1" s="62"/>
      <c r="J1" s="62"/>
      <c r="K1" s="62"/>
      <c r="L1" s="63"/>
      <c r="M1" s="63"/>
      <c r="N1" s="63"/>
      <c r="O1" s="63"/>
      <c r="P1" s="63"/>
    </row>
    <row r="2" spans="1:16" ht="14.25" thickBot="1">
      <c r="A2" s="235" t="s">
        <v>115</v>
      </c>
      <c r="B2" s="235"/>
      <c r="C2" s="235"/>
      <c r="D2" s="235"/>
      <c r="E2" s="235"/>
      <c r="F2" s="235"/>
      <c r="G2" s="235"/>
      <c r="H2" s="235"/>
      <c r="I2" s="235"/>
      <c r="J2" s="89"/>
      <c r="K2" s="89"/>
      <c r="L2" s="63"/>
      <c r="M2" s="63"/>
      <c r="N2" s="63"/>
      <c r="O2" s="63"/>
      <c r="P2" s="63"/>
    </row>
    <row r="3" spans="1:19" ht="19.5" customHeight="1">
      <c r="A3" s="220" t="s">
        <v>27</v>
      </c>
      <c r="B3" s="223" t="s">
        <v>28</v>
      </c>
      <c r="C3" s="223"/>
      <c r="D3" s="223"/>
      <c r="E3" s="223"/>
      <c r="F3" s="223"/>
      <c r="G3" s="223"/>
      <c r="H3" s="223" t="s">
        <v>13</v>
      </c>
      <c r="I3" s="223"/>
      <c r="J3" s="236" t="s">
        <v>29</v>
      </c>
      <c r="K3" s="223"/>
      <c r="L3" s="223" t="s">
        <v>30</v>
      </c>
      <c r="M3" s="223"/>
      <c r="N3" s="237" t="s">
        <v>116</v>
      </c>
      <c r="O3" s="238"/>
      <c r="P3" s="238"/>
      <c r="Q3" s="238"/>
      <c r="R3" s="229" t="s">
        <v>103</v>
      </c>
      <c r="S3" s="161"/>
    </row>
    <row r="4" spans="1:19" ht="17.25" customHeight="1">
      <c r="A4" s="221"/>
      <c r="B4" s="232" t="s">
        <v>16</v>
      </c>
      <c r="C4" s="232"/>
      <c r="D4" s="232" t="s">
        <v>32</v>
      </c>
      <c r="E4" s="232"/>
      <c r="F4" s="232" t="s">
        <v>33</v>
      </c>
      <c r="G4" s="232"/>
      <c r="H4" s="232"/>
      <c r="I4" s="232"/>
      <c r="J4" s="232"/>
      <c r="K4" s="232"/>
      <c r="L4" s="232"/>
      <c r="M4" s="232"/>
      <c r="N4" s="241" t="s">
        <v>117</v>
      </c>
      <c r="O4" s="243" t="s">
        <v>118</v>
      </c>
      <c r="P4" s="245" t="s">
        <v>119</v>
      </c>
      <c r="Q4" s="247" t="s">
        <v>120</v>
      </c>
      <c r="R4" s="239"/>
      <c r="S4" s="161"/>
    </row>
    <row r="5" spans="1:19" ht="28.5" customHeight="1">
      <c r="A5" s="222"/>
      <c r="B5" s="64" t="s">
        <v>34</v>
      </c>
      <c r="C5" s="65" t="s">
        <v>35</v>
      </c>
      <c r="D5" s="64" t="s">
        <v>34</v>
      </c>
      <c r="E5" s="65" t="s">
        <v>35</v>
      </c>
      <c r="F5" s="64" t="s">
        <v>34</v>
      </c>
      <c r="G5" s="65" t="s">
        <v>36</v>
      </c>
      <c r="H5" s="64" t="s">
        <v>34</v>
      </c>
      <c r="I5" s="65" t="s">
        <v>37</v>
      </c>
      <c r="J5" s="64" t="s">
        <v>34</v>
      </c>
      <c r="K5" s="65" t="s">
        <v>38</v>
      </c>
      <c r="L5" s="64" t="s">
        <v>34</v>
      </c>
      <c r="M5" s="91" t="s">
        <v>121</v>
      </c>
      <c r="N5" s="242"/>
      <c r="O5" s="244"/>
      <c r="P5" s="246"/>
      <c r="Q5" s="248"/>
      <c r="R5" s="240"/>
      <c r="S5" s="162"/>
    </row>
    <row r="6" spans="1:19" s="90" customFormat="1" ht="10.5">
      <c r="A6" s="69"/>
      <c r="B6" s="70" t="s">
        <v>4</v>
      </c>
      <c r="C6" s="71" t="s">
        <v>5</v>
      </c>
      <c r="D6" s="70" t="s">
        <v>4</v>
      </c>
      <c r="E6" s="71" t="s">
        <v>5</v>
      </c>
      <c r="F6" s="70" t="s">
        <v>4</v>
      </c>
      <c r="G6" s="71" t="s">
        <v>5</v>
      </c>
      <c r="H6" s="70" t="s">
        <v>4</v>
      </c>
      <c r="I6" s="72" t="s">
        <v>5</v>
      </c>
      <c r="J6" s="70" t="s">
        <v>4</v>
      </c>
      <c r="K6" s="72" t="s">
        <v>5</v>
      </c>
      <c r="L6" s="70" t="s">
        <v>165</v>
      </c>
      <c r="M6" s="154" t="s">
        <v>5</v>
      </c>
      <c r="N6" s="157" t="s">
        <v>4</v>
      </c>
      <c r="O6" s="159" t="s">
        <v>4</v>
      </c>
      <c r="P6" s="152" t="s">
        <v>4</v>
      </c>
      <c r="Q6" s="156" t="s">
        <v>4</v>
      </c>
      <c r="R6" s="164"/>
      <c r="S6" s="163"/>
    </row>
    <row r="7" spans="1:19" ht="15.75" customHeight="1">
      <c r="A7" s="75" t="s">
        <v>40</v>
      </c>
      <c r="B7" s="115">
        <f>_xlfn.COMPOUNDVALUE(105)</f>
        <v>5291</v>
      </c>
      <c r="C7" s="116">
        <v>25731338</v>
      </c>
      <c r="D7" s="115">
        <f>_xlfn.COMPOUNDVALUE(106)</f>
        <v>3386</v>
      </c>
      <c r="E7" s="116">
        <v>1682800</v>
      </c>
      <c r="F7" s="115">
        <f>_xlfn.COMPOUNDVALUE(107)</f>
        <v>8677</v>
      </c>
      <c r="G7" s="116">
        <v>27414138</v>
      </c>
      <c r="H7" s="115">
        <f>_xlfn.COMPOUNDVALUE(108)</f>
        <v>366</v>
      </c>
      <c r="I7" s="117">
        <v>1485222</v>
      </c>
      <c r="J7" s="115">
        <v>739</v>
      </c>
      <c r="K7" s="117">
        <v>151853</v>
      </c>
      <c r="L7" s="115">
        <v>9273</v>
      </c>
      <c r="M7" s="155">
        <v>26080769</v>
      </c>
      <c r="N7" s="151">
        <v>8805</v>
      </c>
      <c r="O7" s="160">
        <v>328</v>
      </c>
      <c r="P7" s="153">
        <v>21</v>
      </c>
      <c r="Q7" s="151">
        <v>9154</v>
      </c>
      <c r="R7" s="92" t="s">
        <v>41</v>
      </c>
      <c r="S7" s="162"/>
    </row>
    <row r="8" spans="1:19" ht="15.75" customHeight="1">
      <c r="A8" s="78" t="s">
        <v>42</v>
      </c>
      <c r="B8" s="120">
        <f>_xlfn.COMPOUNDVALUE(109)</f>
        <v>1845</v>
      </c>
      <c r="C8" s="121">
        <v>9406030</v>
      </c>
      <c r="D8" s="120">
        <f>_xlfn.COMPOUNDVALUE(110)</f>
        <v>1652</v>
      </c>
      <c r="E8" s="121">
        <v>751393</v>
      </c>
      <c r="F8" s="120">
        <f>_xlfn.COMPOUNDVALUE(111)</f>
        <v>3497</v>
      </c>
      <c r="G8" s="121">
        <v>10157423</v>
      </c>
      <c r="H8" s="120">
        <f>_xlfn.COMPOUNDVALUE(112)</f>
        <v>145</v>
      </c>
      <c r="I8" s="122">
        <v>655391</v>
      </c>
      <c r="J8" s="120">
        <v>262</v>
      </c>
      <c r="K8" s="122">
        <v>60661</v>
      </c>
      <c r="L8" s="120">
        <v>3717</v>
      </c>
      <c r="M8" s="122">
        <v>9562693</v>
      </c>
      <c r="N8" s="158">
        <v>3774</v>
      </c>
      <c r="O8" s="160">
        <v>127</v>
      </c>
      <c r="P8" s="150">
        <v>8</v>
      </c>
      <c r="Q8" s="119">
        <v>3909</v>
      </c>
      <c r="R8" s="92" t="s">
        <v>43</v>
      </c>
      <c r="S8" s="161"/>
    </row>
    <row r="9" spans="1:19" ht="15.75" customHeight="1">
      <c r="A9" s="78" t="s">
        <v>44</v>
      </c>
      <c r="B9" s="120">
        <f>_xlfn.COMPOUNDVALUE(113)</f>
        <v>1288</v>
      </c>
      <c r="C9" s="121">
        <v>3847974</v>
      </c>
      <c r="D9" s="120">
        <f>_xlfn.COMPOUNDVALUE(114)</f>
        <v>832</v>
      </c>
      <c r="E9" s="121">
        <v>370705</v>
      </c>
      <c r="F9" s="120">
        <f>_xlfn.COMPOUNDVALUE(115)</f>
        <v>2120</v>
      </c>
      <c r="G9" s="121">
        <v>4218679</v>
      </c>
      <c r="H9" s="120">
        <f>_xlfn.COMPOUNDVALUE(116)</f>
        <v>130</v>
      </c>
      <c r="I9" s="122">
        <v>10692333</v>
      </c>
      <c r="J9" s="120">
        <v>107</v>
      </c>
      <c r="K9" s="122">
        <v>51895</v>
      </c>
      <c r="L9" s="120">
        <v>2282</v>
      </c>
      <c r="M9" s="122">
        <v>-6421759</v>
      </c>
      <c r="N9" s="158">
        <v>2103</v>
      </c>
      <c r="O9" s="118">
        <v>139</v>
      </c>
      <c r="P9" s="118">
        <v>4</v>
      </c>
      <c r="Q9" s="119">
        <v>2246</v>
      </c>
      <c r="R9" s="92" t="s">
        <v>45</v>
      </c>
      <c r="S9" s="161"/>
    </row>
    <row r="10" spans="1:19" ht="15.75" customHeight="1">
      <c r="A10" s="78" t="s">
        <v>46</v>
      </c>
      <c r="B10" s="120">
        <f>_xlfn.COMPOUNDVALUE(117)</f>
        <v>989</v>
      </c>
      <c r="C10" s="121">
        <v>2382824</v>
      </c>
      <c r="D10" s="120">
        <f>_xlfn.COMPOUNDVALUE(118)</f>
        <v>757</v>
      </c>
      <c r="E10" s="121">
        <v>313232</v>
      </c>
      <c r="F10" s="120">
        <f>_xlfn.COMPOUNDVALUE(119)</f>
        <v>1746</v>
      </c>
      <c r="G10" s="121">
        <v>2696056</v>
      </c>
      <c r="H10" s="120">
        <f>_xlfn.COMPOUNDVALUE(120)</f>
        <v>87</v>
      </c>
      <c r="I10" s="122">
        <v>220179</v>
      </c>
      <c r="J10" s="120">
        <v>113</v>
      </c>
      <c r="K10" s="122">
        <v>30402</v>
      </c>
      <c r="L10" s="120">
        <v>1867</v>
      </c>
      <c r="M10" s="122">
        <v>2506279</v>
      </c>
      <c r="N10" s="158">
        <v>1690</v>
      </c>
      <c r="O10" s="118">
        <v>77</v>
      </c>
      <c r="P10" s="186" t="s">
        <v>176</v>
      </c>
      <c r="Q10" s="119">
        <v>1767</v>
      </c>
      <c r="R10" s="92" t="s">
        <v>47</v>
      </c>
      <c r="S10" s="161"/>
    </row>
    <row r="11" spans="1:19" ht="15.75" customHeight="1">
      <c r="A11" s="78" t="s">
        <v>48</v>
      </c>
      <c r="B11" s="120">
        <f>_xlfn.COMPOUNDVALUE(121)</f>
        <v>465</v>
      </c>
      <c r="C11" s="121">
        <v>1643849</v>
      </c>
      <c r="D11" s="120">
        <f>_xlfn.COMPOUNDVALUE(122)</f>
        <v>347</v>
      </c>
      <c r="E11" s="121">
        <v>166646</v>
      </c>
      <c r="F11" s="120">
        <f>_xlfn.COMPOUNDVALUE(123)</f>
        <v>812</v>
      </c>
      <c r="G11" s="121">
        <v>1810495</v>
      </c>
      <c r="H11" s="120">
        <f>_xlfn.COMPOUNDVALUE(124)</f>
        <v>31</v>
      </c>
      <c r="I11" s="122">
        <v>47080</v>
      </c>
      <c r="J11" s="120">
        <v>52</v>
      </c>
      <c r="K11" s="122">
        <v>15494</v>
      </c>
      <c r="L11" s="120">
        <v>870</v>
      </c>
      <c r="M11" s="122">
        <v>1778909</v>
      </c>
      <c r="N11" s="115">
        <v>818</v>
      </c>
      <c r="O11" s="118">
        <v>30</v>
      </c>
      <c r="P11" s="118">
        <v>2</v>
      </c>
      <c r="Q11" s="119">
        <v>850</v>
      </c>
      <c r="R11" s="92" t="s">
        <v>49</v>
      </c>
      <c r="S11" s="161"/>
    </row>
    <row r="12" spans="1:18" ht="15.75" customHeight="1">
      <c r="A12" s="78" t="s">
        <v>50</v>
      </c>
      <c r="B12" s="120">
        <f>_xlfn.COMPOUNDVALUE(125)</f>
        <v>522</v>
      </c>
      <c r="C12" s="121">
        <v>1552434</v>
      </c>
      <c r="D12" s="120">
        <f>_xlfn.COMPOUNDVALUE(126)</f>
        <v>336</v>
      </c>
      <c r="E12" s="121">
        <v>162030</v>
      </c>
      <c r="F12" s="120">
        <f>_xlfn.COMPOUNDVALUE(127)</f>
        <v>858</v>
      </c>
      <c r="G12" s="121">
        <v>1714465</v>
      </c>
      <c r="H12" s="120">
        <f>_xlfn.COMPOUNDVALUE(128)</f>
        <v>36</v>
      </c>
      <c r="I12" s="122">
        <v>49876</v>
      </c>
      <c r="J12" s="120">
        <v>83</v>
      </c>
      <c r="K12" s="122">
        <v>23964</v>
      </c>
      <c r="L12" s="120">
        <v>910</v>
      </c>
      <c r="M12" s="122">
        <v>1688553</v>
      </c>
      <c r="N12" s="115">
        <v>859</v>
      </c>
      <c r="O12" s="118">
        <v>29</v>
      </c>
      <c r="P12" s="186" t="s">
        <v>177</v>
      </c>
      <c r="Q12" s="119">
        <v>888</v>
      </c>
      <c r="R12" s="92" t="s">
        <v>51</v>
      </c>
    </row>
    <row r="13" spans="1:18" ht="15.75" customHeight="1">
      <c r="A13" s="80" t="s">
        <v>52</v>
      </c>
      <c r="B13" s="123">
        <v>10400</v>
      </c>
      <c r="C13" s="124">
        <v>44564450</v>
      </c>
      <c r="D13" s="123">
        <v>7310</v>
      </c>
      <c r="E13" s="124">
        <v>3446805</v>
      </c>
      <c r="F13" s="123">
        <v>17710</v>
      </c>
      <c r="G13" s="124">
        <v>48011255</v>
      </c>
      <c r="H13" s="123">
        <v>795</v>
      </c>
      <c r="I13" s="125">
        <v>13150080</v>
      </c>
      <c r="J13" s="123">
        <v>1356</v>
      </c>
      <c r="K13" s="125">
        <v>334270</v>
      </c>
      <c r="L13" s="123">
        <v>18919</v>
      </c>
      <c r="M13" s="125">
        <v>35195445</v>
      </c>
      <c r="N13" s="123">
        <v>18049</v>
      </c>
      <c r="O13" s="126">
        <v>730</v>
      </c>
      <c r="P13" s="126">
        <v>35</v>
      </c>
      <c r="Q13" s="127">
        <v>18814</v>
      </c>
      <c r="R13" s="81" t="s">
        <v>53</v>
      </c>
    </row>
    <row r="14" spans="1:18" ht="15.75" customHeight="1">
      <c r="A14" s="82"/>
      <c r="B14" s="128"/>
      <c r="C14" s="129"/>
      <c r="D14" s="128"/>
      <c r="E14" s="129"/>
      <c r="F14" s="130"/>
      <c r="G14" s="129"/>
      <c r="H14" s="130"/>
      <c r="I14" s="129"/>
      <c r="J14" s="130"/>
      <c r="K14" s="129"/>
      <c r="L14" s="130"/>
      <c r="M14" s="129"/>
      <c r="N14" s="131"/>
      <c r="O14" s="132"/>
      <c r="P14" s="132"/>
      <c r="Q14" s="133"/>
      <c r="R14" s="93" t="s">
        <v>122</v>
      </c>
    </row>
    <row r="15" spans="1:18" ht="15.75" customHeight="1">
      <c r="A15" s="75" t="s">
        <v>54</v>
      </c>
      <c r="B15" s="115">
        <f>_xlfn.COMPOUNDVALUE(129)</f>
        <v>6745</v>
      </c>
      <c r="C15" s="116">
        <v>54397883</v>
      </c>
      <c r="D15" s="115">
        <f>_xlfn.COMPOUNDVALUE(130)</f>
        <v>4240</v>
      </c>
      <c r="E15" s="116">
        <v>2188867</v>
      </c>
      <c r="F15" s="115">
        <f>_xlfn.COMPOUNDVALUE(131)</f>
        <v>10985</v>
      </c>
      <c r="G15" s="116">
        <v>56586749</v>
      </c>
      <c r="H15" s="115">
        <f>_xlfn.COMPOUNDVALUE(132)</f>
        <v>481</v>
      </c>
      <c r="I15" s="117">
        <v>3848129</v>
      </c>
      <c r="J15" s="115">
        <v>962</v>
      </c>
      <c r="K15" s="117">
        <v>343640</v>
      </c>
      <c r="L15" s="115">
        <v>11699</v>
      </c>
      <c r="M15" s="117">
        <v>53082260</v>
      </c>
      <c r="N15" s="134">
        <v>11462</v>
      </c>
      <c r="O15" s="135">
        <v>417</v>
      </c>
      <c r="P15" s="135">
        <v>32</v>
      </c>
      <c r="Q15" s="136">
        <v>11911</v>
      </c>
      <c r="R15" s="76" t="s">
        <v>55</v>
      </c>
    </row>
    <row r="16" spans="1:18" ht="15.75" customHeight="1">
      <c r="A16" s="78" t="s">
        <v>56</v>
      </c>
      <c r="B16" s="120">
        <f>_xlfn.COMPOUNDVALUE(133)</f>
        <v>2318</v>
      </c>
      <c r="C16" s="121">
        <v>10809447</v>
      </c>
      <c r="D16" s="120">
        <f>_xlfn.COMPOUNDVALUE(134)</f>
        <v>1607</v>
      </c>
      <c r="E16" s="121">
        <v>790755</v>
      </c>
      <c r="F16" s="120">
        <f>_xlfn.COMPOUNDVALUE(135)</f>
        <v>3925</v>
      </c>
      <c r="G16" s="121">
        <v>11600202</v>
      </c>
      <c r="H16" s="120">
        <f>_xlfn.COMPOUNDVALUE(136)</f>
        <v>168</v>
      </c>
      <c r="I16" s="122">
        <v>199858</v>
      </c>
      <c r="J16" s="120">
        <v>358</v>
      </c>
      <c r="K16" s="122">
        <v>90540</v>
      </c>
      <c r="L16" s="120">
        <v>4191</v>
      </c>
      <c r="M16" s="122">
        <v>11490884</v>
      </c>
      <c r="N16" s="115">
        <v>4068</v>
      </c>
      <c r="O16" s="118">
        <v>157</v>
      </c>
      <c r="P16" s="118">
        <v>10</v>
      </c>
      <c r="Q16" s="119">
        <v>4235</v>
      </c>
      <c r="R16" s="92" t="s">
        <v>57</v>
      </c>
    </row>
    <row r="17" spans="1:18" ht="15.75" customHeight="1">
      <c r="A17" s="78" t="s">
        <v>58</v>
      </c>
      <c r="B17" s="120">
        <f>_xlfn.COMPOUNDVALUE(137)</f>
        <v>1311</v>
      </c>
      <c r="C17" s="121">
        <v>5706731</v>
      </c>
      <c r="D17" s="120">
        <f>_xlfn.COMPOUNDVALUE(138)</f>
        <v>769</v>
      </c>
      <c r="E17" s="121">
        <v>381041</v>
      </c>
      <c r="F17" s="120">
        <f>_xlfn.COMPOUNDVALUE(139)</f>
        <v>2080</v>
      </c>
      <c r="G17" s="121">
        <v>6087772</v>
      </c>
      <c r="H17" s="120">
        <f>_xlfn.COMPOUNDVALUE(140)</f>
        <v>90</v>
      </c>
      <c r="I17" s="122">
        <v>375452</v>
      </c>
      <c r="J17" s="120">
        <v>207</v>
      </c>
      <c r="K17" s="122">
        <v>12174</v>
      </c>
      <c r="L17" s="120">
        <v>2216</v>
      </c>
      <c r="M17" s="122">
        <v>5724494</v>
      </c>
      <c r="N17" s="115">
        <v>2550</v>
      </c>
      <c r="O17" s="118">
        <v>88</v>
      </c>
      <c r="P17" s="118">
        <v>6</v>
      </c>
      <c r="Q17" s="119">
        <v>2644</v>
      </c>
      <c r="R17" s="92" t="s">
        <v>59</v>
      </c>
    </row>
    <row r="18" spans="1:18" ht="15.75" customHeight="1">
      <c r="A18" s="78" t="s">
        <v>60</v>
      </c>
      <c r="B18" s="120">
        <f>_xlfn.COMPOUNDVALUE(141)</f>
        <v>1761</v>
      </c>
      <c r="C18" s="121">
        <v>8619004</v>
      </c>
      <c r="D18" s="120">
        <f>_xlfn.COMPOUNDVALUE(142)</f>
        <v>1277</v>
      </c>
      <c r="E18" s="121">
        <v>545745</v>
      </c>
      <c r="F18" s="120">
        <f>_xlfn.COMPOUNDVALUE(143)</f>
        <v>3038</v>
      </c>
      <c r="G18" s="121">
        <v>9164748</v>
      </c>
      <c r="H18" s="120">
        <f>_xlfn.COMPOUNDVALUE(144)</f>
        <v>103</v>
      </c>
      <c r="I18" s="122">
        <v>582170</v>
      </c>
      <c r="J18" s="120">
        <v>330</v>
      </c>
      <c r="K18" s="122">
        <v>137884</v>
      </c>
      <c r="L18" s="120">
        <v>3238</v>
      </c>
      <c r="M18" s="122">
        <v>8720462</v>
      </c>
      <c r="N18" s="115">
        <v>3073</v>
      </c>
      <c r="O18" s="118">
        <v>116</v>
      </c>
      <c r="P18" s="118">
        <v>9</v>
      </c>
      <c r="Q18" s="119">
        <v>3198</v>
      </c>
      <c r="R18" s="92" t="s">
        <v>61</v>
      </c>
    </row>
    <row r="19" spans="1:18" ht="15.75" customHeight="1">
      <c r="A19" s="78" t="s">
        <v>62</v>
      </c>
      <c r="B19" s="120">
        <f>_xlfn.COMPOUNDVALUE(145)</f>
        <v>1022</v>
      </c>
      <c r="C19" s="121">
        <v>3591510</v>
      </c>
      <c r="D19" s="120">
        <f>_xlfn.COMPOUNDVALUE(146)</f>
        <v>657</v>
      </c>
      <c r="E19" s="121">
        <v>295788</v>
      </c>
      <c r="F19" s="120">
        <f>_xlfn.COMPOUNDVALUE(147)</f>
        <v>1679</v>
      </c>
      <c r="G19" s="121">
        <v>3887299</v>
      </c>
      <c r="H19" s="120">
        <f>_xlfn.COMPOUNDVALUE(148)</f>
        <v>88</v>
      </c>
      <c r="I19" s="122">
        <v>512958</v>
      </c>
      <c r="J19" s="120">
        <v>136</v>
      </c>
      <c r="K19" s="122">
        <v>11864</v>
      </c>
      <c r="L19" s="120">
        <v>1788</v>
      </c>
      <c r="M19" s="122">
        <v>3386205</v>
      </c>
      <c r="N19" s="115">
        <v>1722</v>
      </c>
      <c r="O19" s="118">
        <v>71</v>
      </c>
      <c r="P19" s="118">
        <v>2</v>
      </c>
      <c r="Q19" s="119">
        <v>1795</v>
      </c>
      <c r="R19" s="92" t="s">
        <v>63</v>
      </c>
    </row>
    <row r="20" spans="1:18" ht="15.75" customHeight="1">
      <c r="A20" s="78" t="s">
        <v>64</v>
      </c>
      <c r="B20" s="120">
        <f>_xlfn.COMPOUNDVALUE(149)</f>
        <v>494</v>
      </c>
      <c r="C20" s="121">
        <v>1766949</v>
      </c>
      <c r="D20" s="120">
        <f>_xlfn.COMPOUNDVALUE(150)</f>
        <v>373</v>
      </c>
      <c r="E20" s="121">
        <v>154984</v>
      </c>
      <c r="F20" s="120">
        <f>_xlfn.COMPOUNDVALUE(151)</f>
        <v>867</v>
      </c>
      <c r="G20" s="121">
        <v>1921933</v>
      </c>
      <c r="H20" s="120">
        <f>_xlfn.COMPOUNDVALUE(152)</f>
        <v>40</v>
      </c>
      <c r="I20" s="122">
        <v>67884</v>
      </c>
      <c r="J20" s="120">
        <v>61</v>
      </c>
      <c r="K20" s="122">
        <v>61276</v>
      </c>
      <c r="L20" s="120">
        <v>928</v>
      </c>
      <c r="M20" s="122">
        <v>1915325</v>
      </c>
      <c r="N20" s="115">
        <v>894</v>
      </c>
      <c r="O20" s="118">
        <v>29</v>
      </c>
      <c r="P20" s="118">
        <v>2</v>
      </c>
      <c r="Q20" s="119">
        <v>925</v>
      </c>
      <c r="R20" s="92" t="s">
        <v>65</v>
      </c>
    </row>
    <row r="21" spans="1:18" ht="15.75" customHeight="1">
      <c r="A21" s="80" t="s">
        <v>123</v>
      </c>
      <c r="B21" s="123">
        <v>13651</v>
      </c>
      <c r="C21" s="124">
        <v>84891523</v>
      </c>
      <c r="D21" s="123">
        <v>8923</v>
      </c>
      <c r="E21" s="124">
        <v>4357180</v>
      </c>
      <c r="F21" s="123">
        <v>22574</v>
      </c>
      <c r="G21" s="124">
        <v>89248702</v>
      </c>
      <c r="H21" s="123">
        <v>970</v>
      </c>
      <c r="I21" s="125">
        <v>5586450</v>
      </c>
      <c r="J21" s="123">
        <v>2054</v>
      </c>
      <c r="K21" s="125">
        <v>657378</v>
      </c>
      <c r="L21" s="123">
        <v>24060</v>
      </c>
      <c r="M21" s="125">
        <v>84319630</v>
      </c>
      <c r="N21" s="123">
        <v>23769</v>
      </c>
      <c r="O21" s="126">
        <v>878</v>
      </c>
      <c r="P21" s="126">
        <v>61</v>
      </c>
      <c r="Q21" s="127">
        <v>24708</v>
      </c>
      <c r="R21" s="81" t="s">
        <v>67</v>
      </c>
    </row>
    <row r="22" spans="1:18" ht="15.75" customHeight="1">
      <c r="A22" s="82"/>
      <c r="B22" s="128"/>
      <c r="C22" s="129"/>
      <c r="D22" s="128"/>
      <c r="E22" s="129"/>
      <c r="F22" s="130"/>
      <c r="G22" s="129"/>
      <c r="H22" s="130"/>
      <c r="I22" s="129"/>
      <c r="J22" s="130"/>
      <c r="K22" s="129"/>
      <c r="L22" s="130"/>
      <c r="M22" s="129"/>
      <c r="N22" s="131"/>
      <c r="O22" s="132"/>
      <c r="P22" s="132"/>
      <c r="Q22" s="133"/>
      <c r="R22" s="93" t="s">
        <v>122</v>
      </c>
    </row>
    <row r="23" spans="1:18" ht="15.75" customHeight="1">
      <c r="A23" s="75" t="s">
        <v>68</v>
      </c>
      <c r="B23" s="115">
        <f>_xlfn.COMPOUNDVALUE(153)</f>
        <v>8282</v>
      </c>
      <c r="C23" s="116">
        <v>45285153</v>
      </c>
      <c r="D23" s="115">
        <f>_xlfn.COMPOUNDVALUE(154)</f>
        <v>5126</v>
      </c>
      <c r="E23" s="116">
        <v>2700560</v>
      </c>
      <c r="F23" s="115">
        <f>_xlfn.COMPOUNDVALUE(155)</f>
        <v>13408</v>
      </c>
      <c r="G23" s="116">
        <v>47985713</v>
      </c>
      <c r="H23" s="115">
        <f>_xlfn.COMPOUNDVALUE(156)</f>
        <v>559</v>
      </c>
      <c r="I23" s="117">
        <v>2886022</v>
      </c>
      <c r="J23" s="115">
        <v>1163</v>
      </c>
      <c r="K23" s="117">
        <v>268497</v>
      </c>
      <c r="L23" s="115">
        <v>14229</v>
      </c>
      <c r="M23" s="117">
        <v>45368188</v>
      </c>
      <c r="N23" s="134">
        <v>14375</v>
      </c>
      <c r="O23" s="135">
        <v>396</v>
      </c>
      <c r="P23" s="135">
        <v>19</v>
      </c>
      <c r="Q23" s="136">
        <v>14790</v>
      </c>
      <c r="R23" s="76" t="s">
        <v>69</v>
      </c>
    </row>
    <row r="24" spans="1:18" ht="15.75" customHeight="1">
      <c r="A24" s="78" t="s">
        <v>70</v>
      </c>
      <c r="B24" s="120">
        <f>_xlfn.COMPOUNDVALUE(157)</f>
        <v>2622</v>
      </c>
      <c r="C24" s="121">
        <v>17084645</v>
      </c>
      <c r="D24" s="120">
        <f>_xlfn.COMPOUNDVALUE(158)</f>
        <v>1780</v>
      </c>
      <c r="E24" s="121">
        <v>942392</v>
      </c>
      <c r="F24" s="120">
        <f>_xlfn.COMPOUNDVALUE(159)</f>
        <v>4402</v>
      </c>
      <c r="G24" s="121">
        <v>18027037</v>
      </c>
      <c r="H24" s="120">
        <f>_xlfn.COMPOUNDVALUE(160)</f>
        <v>316</v>
      </c>
      <c r="I24" s="122">
        <v>32095234</v>
      </c>
      <c r="J24" s="120">
        <v>326</v>
      </c>
      <c r="K24" s="122">
        <v>-10715</v>
      </c>
      <c r="L24" s="120">
        <v>4776</v>
      </c>
      <c r="M24" s="122">
        <v>-14078912</v>
      </c>
      <c r="N24" s="115">
        <v>4561</v>
      </c>
      <c r="O24" s="118">
        <v>144</v>
      </c>
      <c r="P24" s="118">
        <v>8</v>
      </c>
      <c r="Q24" s="119">
        <v>4713</v>
      </c>
      <c r="R24" s="92" t="s">
        <v>71</v>
      </c>
    </row>
    <row r="25" spans="1:18" ht="15.75" customHeight="1">
      <c r="A25" s="78" t="s">
        <v>72</v>
      </c>
      <c r="B25" s="120">
        <f>_xlfn.COMPOUNDVALUE(161)</f>
        <v>1633</v>
      </c>
      <c r="C25" s="121">
        <v>5199983</v>
      </c>
      <c r="D25" s="120">
        <f>_xlfn.COMPOUNDVALUE(162)</f>
        <v>1365</v>
      </c>
      <c r="E25" s="121">
        <v>587168</v>
      </c>
      <c r="F25" s="120">
        <f>_xlfn.COMPOUNDVALUE(163)</f>
        <v>2998</v>
      </c>
      <c r="G25" s="121">
        <v>5787151</v>
      </c>
      <c r="H25" s="120">
        <f>_xlfn.COMPOUNDVALUE(164)</f>
        <v>119</v>
      </c>
      <c r="I25" s="122">
        <v>821263</v>
      </c>
      <c r="J25" s="120">
        <v>165</v>
      </c>
      <c r="K25" s="122">
        <v>41143</v>
      </c>
      <c r="L25" s="120">
        <v>3162</v>
      </c>
      <c r="M25" s="122">
        <v>5007031</v>
      </c>
      <c r="N25" s="115">
        <v>2997</v>
      </c>
      <c r="O25" s="118">
        <v>74</v>
      </c>
      <c r="P25" s="118">
        <v>1</v>
      </c>
      <c r="Q25" s="119">
        <v>3072</v>
      </c>
      <c r="R25" s="92" t="s">
        <v>73</v>
      </c>
    </row>
    <row r="26" spans="1:18" ht="15.75" customHeight="1">
      <c r="A26" s="78" t="s">
        <v>74</v>
      </c>
      <c r="B26" s="120">
        <f>_xlfn.COMPOUNDVALUE(165)</f>
        <v>1011</v>
      </c>
      <c r="C26" s="121">
        <v>3616528</v>
      </c>
      <c r="D26" s="120">
        <f>_xlfn.COMPOUNDVALUE(166)</f>
        <v>1131</v>
      </c>
      <c r="E26" s="121">
        <v>432569</v>
      </c>
      <c r="F26" s="120">
        <f>_xlfn.COMPOUNDVALUE(167)</f>
        <v>2142</v>
      </c>
      <c r="G26" s="121">
        <v>4049097</v>
      </c>
      <c r="H26" s="120">
        <f>_xlfn.COMPOUNDVALUE(168)</f>
        <v>69</v>
      </c>
      <c r="I26" s="122">
        <v>284648</v>
      </c>
      <c r="J26" s="120">
        <v>83</v>
      </c>
      <c r="K26" s="122">
        <v>28288</v>
      </c>
      <c r="L26" s="120">
        <v>2227</v>
      </c>
      <c r="M26" s="122">
        <v>3792737</v>
      </c>
      <c r="N26" s="115">
        <v>2107</v>
      </c>
      <c r="O26" s="118">
        <v>54</v>
      </c>
      <c r="P26" s="118">
        <v>3</v>
      </c>
      <c r="Q26" s="119">
        <v>2164</v>
      </c>
      <c r="R26" s="92" t="s">
        <v>75</v>
      </c>
    </row>
    <row r="27" spans="1:18" ht="15.75" customHeight="1">
      <c r="A27" s="78" t="s">
        <v>76</v>
      </c>
      <c r="B27" s="120">
        <f>_xlfn.COMPOUNDVALUE(169)</f>
        <v>1439</v>
      </c>
      <c r="C27" s="121">
        <v>8593242</v>
      </c>
      <c r="D27" s="120">
        <f>_xlfn.COMPOUNDVALUE(170)</f>
        <v>895</v>
      </c>
      <c r="E27" s="121">
        <v>489727</v>
      </c>
      <c r="F27" s="120">
        <f>_xlfn.COMPOUNDVALUE(171)</f>
        <v>2334</v>
      </c>
      <c r="G27" s="121">
        <v>9082968</v>
      </c>
      <c r="H27" s="120">
        <f>_xlfn.COMPOUNDVALUE(172)</f>
        <v>54</v>
      </c>
      <c r="I27" s="122">
        <v>398811</v>
      </c>
      <c r="J27" s="120">
        <v>203</v>
      </c>
      <c r="K27" s="122">
        <v>41231</v>
      </c>
      <c r="L27" s="120">
        <v>2451</v>
      </c>
      <c r="M27" s="122">
        <v>8725388</v>
      </c>
      <c r="N27" s="115">
        <v>2515</v>
      </c>
      <c r="O27" s="118">
        <v>42</v>
      </c>
      <c r="P27" s="118">
        <v>3</v>
      </c>
      <c r="Q27" s="119">
        <v>2560</v>
      </c>
      <c r="R27" s="92" t="s">
        <v>77</v>
      </c>
    </row>
    <row r="28" spans="1:18" ht="15.75" customHeight="1">
      <c r="A28" s="78" t="s">
        <v>78</v>
      </c>
      <c r="B28" s="120">
        <f>_xlfn.COMPOUNDVALUE(173)</f>
        <v>1348</v>
      </c>
      <c r="C28" s="121">
        <v>5322909</v>
      </c>
      <c r="D28" s="120">
        <f>_xlfn.COMPOUNDVALUE(174)</f>
        <v>961</v>
      </c>
      <c r="E28" s="121">
        <v>489382</v>
      </c>
      <c r="F28" s="120">
        <f>_xlfn.COMPOUNDVALUE(175)</f>
        <v>2309</v>
      </c>
      <c r="G28" s="121">
        <v>5812291</v>
      </c>
      <c r="H28" s="120">
        <f>_xlfn.COMPOUNDVALUE(176)</f>
        <v>92</v>
      </c>
      <c r="I28" s="122">
        <v>360367</v>
      </c>
      <c r="J28" s="120">
        <v>115</v>
      </c>
      <c r="K28" s="122">
        <v>14471</v>
      </c>
      <c r="L28" s="120">
        <v>2417</v>
      </c>
      <c r="M28" s="122">
        <v>5466395</v>
      </c>
      <c r="N28" s="115">
        <v>2414</v>
      </c>
      <c r="O28" s="118">
        <v>87</v>
      </c>
      <c r="P28" s="118">
        <v>4</v>
      </c>
      <c r="Q28" s="119">
        <v>2505</v>
      </c>
      <c r="R28" s="92" t="s">
        <v>79</v>
      </c>
    </row>
    <row r="29" spans="1:18" ht="15.75" customHeight="1">
      <c r="A29" s="78" t="s">
        <v>80</v>
      </c>
      <c r="B29" s="120">
        <f>_xlfn.COMPOUNDVALUE(177)</f>
        <v>712</v>
      </c>
      <c r="C29" s="121">
        <v>2904356</v>
      </c>
      <c r="D29" s="120">
        <f>_xlfn.COMPOUNDVALUE(178)</f>
        <v>574</v>
      </c>
      <c r="E29" s="121">
        <v>252727</v>
      </c>
      <c r="F29" s="120">
        <f>_xlfn.COMPOUNDVALUE(179)</f>
        <v>1286</v>
      </c>
      <c r="G29" s="121">
        <v>3157082</v>
      </c>
      <c r="H29" s="120">
        <f>_xlfn.COMPOUNDVALUE(180)</f>
        <v>83</v>
      </c>
      <c r="I29" s="122">
        <v>198547</v>
      </c>
      <c r="J29" s="120">
        <v>44</v>
      </c>
      <c r="K29" s="122">
        <v>5353</v>
      </c>
      <c r="L29" s="120">
        <v>1371</v>
      </c>
      <c r="M29" s="122">
        <v>2963888</v>
      </c>
      <c r="N29" s="115">
        <v>1335</v>
      </c>
      <c r="O29" s="118">
        <v>33</v>
      </c>
      <c r="P29" s="118">
        <v>2</v>
      </c>
      <c r="Q29" s="119">
        <v>1370</v>
      </c>
      <c r="R29" s="92" t="s">
        <v>81</v>
      </c>
    </row>
    <row r="30" spans="1:18" ht="15.75" customHeight="1">
      <c r="A30" s="78" t="s">
        <v>82</v>
      </c>
      <c r="B30" s="120">
        <f>_xlfn.COMPOUNDVALUE(181)</f>
        <v>1329</v>
      </c>
      <c r="C30" s="121">
        <v>15127380</v>
      </c>
      <c r="D30" s="120">
        <f>_xlfn.COMPOUNDVALUE(182)</f>
        <v>672</v>
      </c>
      <c r="E30" s="121">
        <v>327504</v>
      </c>
      <c r="F30" s="120">
        <f>_xlfn.COMPOUNDVALUE(183)</f>
        <v>2001</v>
      </c>
      <c r="G30" s="121">
        <v>15454885</v>
      </c>
      <c r="H30" s="120">
        <f>_xlfn.COMPOUNDVALUE(184)</f>
        <v>81</v>
      </c>
      <c r="I30" s="122">
        <v>479604</v>
      </c>
      <c r="J30" s="120">
        <v>154</v>
      </c>
      <c r="K30" s="122">
        <v>160532</v>
      </c>
      <c r="L30" s="120">
        <v>2102</v>
      </c>
      <c r="M30" s="122">
        <v>15135813</v>
      </c>
      <c r="N30" s="115">
        <v>2022</v>
      </c>
      <c r="O30" s="118">
        <v>68</v>
      </c>
      <c r="P30" s="118">
        <v>9</v>
      </c>
      <c r="Q30" s="119">
        <v>2099</v>
      </c>
      <c r="R30" s="92" t="s">
        <v>83</v>
      </c>
    </row>
    <row r="31" spans="1:18" ht="15.75" customHeight="1">
      <c r="A31" s="80" t="s">
        <v>124</v>
      </c>
      <c r="B31" s="123">
        <v>18376</v>
      </c>
      <c r="C31" s="124">
        <v>103134196</v>
      </c>
      <c r="D31" s="123">
        <v>12504</v>
      </c>
      <c r="E31" s="124">
        <v>6222029</v>
      </c>
      <c r="F31" s="123">
        <v>30880</v>
      </c>
      <c r="G31" s="124">
        <v>109356225</v>
      </c>
      <c r="H31" s="123">
        <v>1373</v>
      </c>
      <c r="I31" s="125">
        <v>37524496</v>
      </c>
      <c r="J31" s="123">
        <v>2253</v>
      </c>
      <c r="K31" s="125">
        <v>548799</v>
      </c>
      <c r="L31" s="123">
        <v>32735</v>
      </c>
      <c r="M31" s="125">
        <v>72380528</v>
      </c>
      <c r="N31" s="123">
        <v>32326</v>
      </c>
      <c r="O31" s="126">
        <v>898</v>
      </c>
      <c r="P31" s="126">
        <v>49</v>
      </c>
      <c r="Q31" s="127">
        <v>33273</v>
      </c>
      <c r="R31" s="81" t="s">
        <v>85</v>
      </c>
    </row>
    <row r="32" spans="1:18" ht="15.75" customHeight="1">
      <c r="A32" s="82"/>
      <c r="B32" s="128"/>
      <c r="C32" s="129"/>
      <c r="D32" s="128"/>
      <c r="E32" s="129"/>
      <c r="F32" s="130"/>
      <c r="G32" s="129"/>
      <c r="H32" s="130"/>
      <c r="I32" s="129"/>
      <c r="J32" s="130"/>
      <c r="K32" s="129"/>
      <c r="L32" s="130"/>
      <c r="M32" s="129"/>
      <c r="N32" s="131"/>
      <c r="O32" s="132"/>
      <c r="P32" s="132"/>
      <c r="Q32" s="133"/>
      <c r="R32" s="93" t="s">
        <v>122</v>
      </c>
    </row>
    <row r="33" spans="1:18" ht="15.75" customHeight="1">
      <c r="A33" s="75" t="s">
        <v>86</v>
      </c>
      <c r="B33" s="115">
        <f>_xlfn.COMPOUNDVALUE(185)</f>
        <v>4923</v>
      </c>
      <c r="C33" s="116">
        <v>27206831</v>
      </c>
      <c r="D33" s="115">
        <f>_xlfn.COMPOUNDVALUE(186)</f>
        <v>3153</v>
      </c>
      <c r="E33" s="116">
        <v>1590336</v>
      </c>
      <c r="F33" s="115">
        <f>_xlfn.COMPOUNDVALUE(187)</f>
        <v>8076</v>
      </c>
      <c r="G33" s="116">
        <v>28797167</v>
      </c>
      <c r="H33" s="115">
        <f>_xlfn.COMPOUNDVALUE(188)</f>
        <v>254</v>
      </c>
      <c r="I33" s="117">
        <v>880307</v>
      </c>
      <c r="J33" s="115">
        <v>710</v>
      </c>
      <c r="K33" s="117">
        <v>87088</v>
      </c>
      <c r="L33" s="115">
        <v>8514</v>
      </c>
      <c r="M33" s="117">
        <v>28003948</v>
      </c>
      <c r="N33" s="134">
        <v>8327</v>
      </c>
      <c r="O33" s="135">
        <v>189</v>
      </c>
      <c r="P33" s="135">
        <v>15</v>
      </c>
      <c r="Q33" s="136">
        <v>8531</v>
      </c>
      <c r="R33" s="76" t="s">
        <v>87</v>
      </c>
    </row>
    <row r="34" spans="1:18" ht="15.75" customHeight="1">
      <c r="A34" s="78" t="s">
        <v>88</v>
      </c>
      <c r="B34" s="120">
        <f>_xlfn.COMPOUNDVALUE(189)</f>
        <v>580</v>
      </c>
      <c r="C34" s="121">
        <v>1527795</v>
      </c>
      <c r="D34" s="120">
        <f>_xlfn.COMPOUNDVALUE(190)</f>
        <v>963</v>
      </c>
      <c r="E34" s="121">
        <v>333246</v>
      </c>
      <c r="F34" s="120">
        <f>_xlfn.COMPOUNDVALUE(191)</f>
        <v>1543</v>
      </c>
      <c r="G34" s="121">
        <v>1861041</v>
      </c>
      <c r="H34" s="120">
        <f>_xlfn.COMPOUNDVALUE(192)</f>
        <v>38</v>
      </c>
      <c r="I34" s="122">
        <v>43915</v>
      </c>
      <c r="J34" s="120">
        <v>83</v>
      </c>
      <c r="K34" s="122">
        <v>18014</v>
      </c>
      <c r="L34" s="120">
        <v>1601</v>
      </c>
      <c r="M34" s="122">
        <v>1835140</v>
      </c>
      <c r="N34" s="115">
        <v>1601</v>
      </c>
      <c r="O34" s="118">
        <v>32</v>
      </c>
      <c r="P34" s="186" t="s">
        <v>177</v>
      </c>
      <c r="Q34" s="119">
        <v>1633</v>
      </c>
      <c r="R34" s="92" t="s">
        <v>89</v>
      </c>
    </row>
    <row r="35" spans="1:18" ht="15.75" customHeight="1">
      <c r="A35" s="78" t="s">
        <v>90</v>
      </c>
      <c r="B35" s="120">
        <f>_xlfn.COMPOUNDVALUE(193)</f>
        <v>1243</v>
      </c>
      <c r="C35" s="121">
        <v>5097026</v>
      </c>
      <c r="D35" s="120">
        <f>_xlfn.COMPOUNDVALUE(194)</f>
        <v>1182</v>
      </c>
      <c r="E35" s="121">
        <v>483125</v>
      </c>
      <c r="F35" s="120">
        <f>_xlfn.COMPOUNDVALUE(195)</f>
        <v>2425</v>
      </c>
      <c r="G35" s="121">
        <v>5580151</v>
      </c>
      <c r="H35" s="120">
        <f>_xlfn.COMPOUNDVALUE(196)</f>
        <v>73</v>
      </c>
      <c r="I35" s="122">
        <v>589726</v>
      </c>
      <c r="J35" s="120">
        <v>168</v>
      </c>
      <c r="K35" s="122">
        <v>51737</v>
      </c>
      <c r="L35" s="120">
        <v>2561</v>
      </c>
      <c r="M35" s="122">
        <v>5042162</v>
      </c>
      <c r="N35" s="115">
        <v>2473</v>
      </c>
      <c r="O35" s="118">
        <v>55</v>
      </c>
      <c r="P35" s="118">
        <v>4</v>
      </c>
      <c r="Q35" s="119">
        <v>2532</v>
      </c>
      <c r="R35" s="92" t="s">
        <v>91</v>
      </c>
    </row>
    <row r="36" spans="1:18" ht="15.75" customHeight="1">
      <c r="A36" s="78" t="s">
        <v>92</v>
      </c>
      <c r="B36" s="120">
        <f>_xlfn.COMPOUNDVALUE(197)</f>
        <v>944</v>
      </c>
      <c r="C36" s="121">
        <v>2476809</v>
      </c>
      <c r="D36" s="120">
        <f>_xlfn.COMPOUNDVALUE(198)</f>
        <v>1156</v>
      </c>
      <c r="E36" s="121">
        <v>485520</v>
      </c>
      <c r="F36" s="120">
        <f>_xlfn.COMPOUNDVALUE(199)</f>
        <v>2100</v>
      </c>
      <c r="G36" s="121">
        <v>2962329</v>
      </c>
      <c r="H36" s="120">
        <f>_xlfn.COMPOUNDVALUE(200)</f>
        <v>50</v>
      </c>
      <c r="I36" s="122">
        <v>148736</v>
      </c>
      <c r="J36" s="120">
        <v>151</v>
      </c>
      <c r="K36" s="122">
        <v>30990</v>
      </c>
      <c r="L36" s="120">
        <v>2195</v>
      </c>
      <c r="M36" s="122">
        <v>2844583</v>
      </c>
      <c r="N36" s="115">
        <v>2136</v>
      </c>
      <c r="O36" s="118">
        <v>43</v>
      </c>
      <c r="P36" s="118">
        <v>2</v>
      </c>
      <c r="Q36" s="119">
        <v>2181</v>
      </c>
      <c r="R36" s="92" t="s">
        <v>93</v>
      </c>
    </row>
    <row r="37" spans="1:18" ht="15.75" customHeight="1">
      <c r="A37" s="78" t="s">
        <v>94</v>
      </c>
      <c r="B37" s="120">
        <f>_xlfn.COMPOUNDVALUE(201)</f>
        <v>1218</v>
      </c>
      <c r="C37" s="121">
        <v>3371111</v>
      </c>
      <c r="D37" s="120">
        <f>_xlfn.COMPOUNDVALUE(202)</f>
        <v>929</v>
      </c>
      <c r="E37" s="121">
        <v>420883</v>
      </c>
      <c r="F37" s="120">
        <f>_xlfn.COMPOUNDVALUE(203)</f>
        <v>2147</v>
      </c>
      <c r="G37" s="121">
        <v>3791994</v>
      </c>
      <c r="H37" s="120">
        <f>_xlfn.COMPOUNDVALUE(204)</f>
        <v>64</v>
      </c>
      <c r="I37" s="122">
        <v>122782</v>
      </c>
      <c r="J37" s="120">
        <v>130</v>
      </c>
      <c r="K37" s="122">
        <v>25032</v>
      </c>
      <c r="L37" s="120">
        <v>2251</v>
      </c>
      <c r="M37" s="122">
        <v>3694244</v>
      </c>
      <c r="N37" s="115">
        <v>2238</v>
      </c>
      <c r="O37" s="118">
        <v>60</v>
      </c>
      <c r="P37" s="118">
        <v>7</v>
      </c>
      <c r="Q37" s="119">
        <v>2305</v>
      </c>
      <c r="R37" s="92" t="s">
        <v>95</v>
      </c>
    </row>
    <row r="38" spans="1:18" ht="15.75" customHeight="1">
      <c r="A38" s="78" t="s">
        <v>96</v>
      </c>
      <c r="B38" s="120">
        <f>_xlfn.COMPOUNDVALUE(205)</f>
        <v>687</v>
      </c>
      <c r="C38" s="121">
        <v>2336888</v>
      </c>
      <c r="D38" s="120">
        <f>_xlfn.COMPOUNDVALUE(206)</f>
        <v>801</v>
      </c>
      <c r="E38" s="121">
        <v>323257</v>
      </c>
      <c r="F38" s="120">
        <f>_xlfn.COMPOUNDVALUE(207)</f>
        <v>1488</v>
      </c>
      <c r="G38" s="121">
        <v>2660145</v>
      </c>
      <c r="H38" s="120">
        <f>_xlfn.COMPOUNDVALUE(208)</f>
        <v>43</v>
      </c>
      <c r="I38" s="122">
        <v>196316</v>
      </c>
      <c r="J38" s="120">
        <v>109</v>
      </c>
      <c r="K38" s="122">
        <v>20265</v>
      </c>
      <c r="L38" s="120">
        <v>1562</v>
      </c>
      <c r="M38" s="122">
        <v>2484094</v>
      </c>
      <c r="N38" s="115">
        <v>1828</v>
      </c>
      <c r="O38" s="118">
        <v>38</v>
      </c>
      <c r="P38" s="166">
        <v>2</v>
      </c>
      <c r="Q38" s="119">
        <v>1868</v>
      </c>
      <c r="R38" s="92" t="s">
        <v>97</v>
      </c>
    </row>
    <row r="39" spans="1:18" ht="15.75" customHeight="1">
      <c r="A39" s="80" t="s">
        <v>125</v>
      </c>
      <c r="B39" s="123">
        <v>9595</v>
      </c>
      <c r="C39" s="124">
        <v>42016461</v>
      </c>
      <c r="D39" s="123">
        <v>8184</v>
      </c>
      <c r="E39" s="124">
        <v>3636367</v>
      </c>
      <c r="F39" s="123">
        <v>17779</v>
      </c>
      <c r="G39" s="124">
        <v>45652827</v>
      </c>
      <c r="H39" s="123">
        <v>522</v>
      </c>
      <c r="I39" s="125">
        <v>1981782</v>
      </c>
      <c r="J39" s="123">
        <v>1351</v>
      </c>
      <c r="K39" s="125">
        <v>233126</v>
      </c>
      <c r="L39" s="123">
        <v>18684</v>
      </c>
      <c r="M39" s="125">
        <v>43904171</v>
      </c>
      <c r="N39" s="123">
        <v>18603</v>
      </c>
      <c r="O39" s="126">
        <v>417</v>
      </c>
      <c r="P39" s="126">
        <v>30</v>
      </c>
      <c r="Q39" s="127">
        <v>19050</v>
      </c>
      <c r="R39" s="81" t="s">
        <v>99</v>
      </c>
    </row>
    <row r="40" spans="1:18" ht="15.75" customHeight="1" thickBot="1">
      <c r="A40" s="84"/>
      <c r="B40" s="137"/>
      <c r="C40" s="138"/>
      <c r="D40" s="137"/>
      <c r="E40" s="138"/>
      <c r="F40" s="139"/>
      <c r="G40" s="138"/>
      <c r="H40" s="139"/>
      <c r="I40" s="138"/>
      <c r="J40" s="139"/>
      <c r="K40" s="138"/>
      <c r="L40" s="139"/>
      <c r="M40" s="138"/>
      <c r="N40" s="131"/>
      <c r="O40" s="132"/>
      <c r="P40" s="132"/>
      <c r="Q40" s="133"/>
      <c r="R40" s="165"/>
    </row>
    <row r="41" spans="1:18" ht="15.75" customHeight="1" thickBot="1" thickTop="1">
      <c r="A41" s="87" t="s">
        <v>101</v>
      </c>
      <c r="B41" s="140">
        <v>52022</v>
      </c>
      <c r="C41" s="141">
        <v>274606630</v>
      </c>
      <c r="D41" s="140">
        <v>36921</v>
      </c>
      <c r="E41" s="141">
        <v>17662380</v>
      </c>
      <c r="F41" s="140">
        <v>88943</v>
      </c>
      <c r="G41" s="141">
        <v>292269010</v>
      </c>
      <c r="H41" s="140">
        <v>3660</v>
      </c>
      <c r="I41" s="142">
        <v>58242807</v>
      </c>
      <c r="J41" s="140">
        <v>7014</v>
      </c>
      <c r="K41" s="142">
        <v>1773573</v>
      </c>
      <c r="L41" s="140">
        <v>94398</v>
      </c>
      <c r="M41" s="142">
        <v>235799775</v>
      </c>
      <c r="N41" s="143">
        <v>92747</v>
      </c>
      <c r="O41" s="144">
        <v>2923</v>
      </c>
      <c r="P41" s="144">
        <v>175</v>
      </c>
      <c r="Q41" s="145">
        <v>95845</v>
      </c>
      <c r="R41" s="94" t="s">
        <v>101</v>
      </c>
    </row>
    <row r="42" spans="1:10" ht="13.5">
      <c r="A42" s="234" t="s">
        <v>163</v>
      </c>
      <c r="B42" s="234"/>
      <c r="C42" s="234"/>
      <c r="D42" s="234"/>
      <c r="E42" s="234"/>
      <c r="F42" s="234"/>
      <c r="G42" s="234"/>
      <c r="H42" s="234"/>
      <c r="I42" s="234"/>
      <c r="J42" s="234"/>
    </row>
  </sheetData>
  <sheetProtection/>
  <mergeCells count="16">
    <mergeCell ref="A42:J42"/>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65" r:id="rId1"/>
  <headerFooter>
    <oddFooter>&amp;R&amp;K01+000高松国税局
消費税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2020-08-13T05:49:50Z</cp:lastPrinted>
  <dcterms:created xsi:type="dcterms:W3CDTF">2003-07-09T01:05:10Z</dcterms:created>
  <dcterms:modified xsi:type="dcterms:W3CDTF">2020-08-13T05:50:01Z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