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950" tabRatio="901" activeTab="0"/>
  </bookViews>
  <sheets>
    <sheet name="(1)　課税状況" sheetId="1" r:id="rId1"/>
    <sheet name="(2)　課税状況の累年比較" sheetId="2" r:id="rId2"/>
    <sheet name="(3)　課税事業者等届出件数" sheetId="3" r:id="rId3"/>
    <sheet name="(4)税務署別（個人事業者）" sheetId="4" r:id="rId4"/>
    <sheet name="(4)税務署別（法人）" sheetId="5" r:id="rId5"/>
    <sheet name="(4)税務署別（合計）" sheetId="6" r:id="rId6"/>
  </sheets>
  <definedNames>
    <definedName name="_xlfn.COMPOUNDVALUE" hidden="1">#NAME?</definedName>
    <definedName name="_xlnm.Print_Area" localSheetId="5">'(4)税務署別（合計）'!$A$1:$R$42</definedName>
  </definedNames>
  <calcPr calcMode="manual" fullCalcOnLoad="1"/>
</workbook>
</file>

<file path=xl/sharedStrings.xml><?xml version="1.0" encoding="utf-8"?>
<sst xmlns="http://schemas.openxmlformats.org/spreadsheetml/2006/main" count="388" uniqueCount="176">
  <si>
    <t>７　消　費　税</t>
  </si>
  <si>
    <t>区　　　分</t>
  </si>
  <si>
    <t>件　　　数</t>
  </si>
  <si>
    <t>税　　　額</t>
  </si>
  <si>
    <t>件</t>
  </si>
  <si>
    <t>千円</t>
  </si>
  <si>
    <t>差引計</t>
  </si>
  <si>
    <t>加算税</t>
  </si>
  <si>
    <t>課税事業者届出書</t>
  </si>
  <si>
    <t>課税事業者選択届出書</t>
  </si>
  <si>
    <t>新設法人に該当する旨の届出書</t>
  </si>
  <si>
    <t>（注）納税義務者でなくなった旨の届出書又は課税事業者選択不適用届出書を提出した者は含まない。</t>
  </si>
  <si>
    <t>納税申告計</t>
  </si>
  <si>
    <t>還付申告及び処理</t>
  </si>
  <si>
    <t>実</t>
  </si>
  <si>
    <t>個　人　事　業　者</t>
  </si>
  <si>
    <t>一般申告及び処理</t>
  </si>
  <si>
    <t>法　　　　　　　人</t>
  </si>
  <si>
    <t>合　　　　　　　計</t>
  </si>
  <si>
    <t>件　　数</t>
  </si>
  <si>
    <t>税　　額</t>
  </si>
  <si>
    <t>(3)　課税事業者等届出件数</t>
  </si>
  <si>
    <t>千円</t>
  </si>
  <si>
    <t>件</t>
  </si>
  <si>
    <t>(2)　課税状況の累年比較</t>
  </si>
  <si>
    <t>合計</t>
  </si>
  <si>
    <t>(4)　税務署別課税状況</t>
  </si>
  <si>
    <t>　イ　個人事業者</t>
  </si>
  <si>
    <t>税務署名</t>
  </si>
  <si>
    <t>納　　　税　　　申　　　告　　　及　　　び　　　処　　　理</t>
  </si>
  <si>
    <t>既往年分の
申告及び処理</t>
  </si>
  <si>
    <t>合　　　　　　計</t>
  </si>
  <si>
    <t>税務署名</t>
  </si>
  <si>
    <t>簡易申告及び処理</t>
  </si>
  <si>
    <t>小　　　　　　計</t>
  </si>
  <si>
    <t>件数</t>
  </si>
  <si>
    <t>税額</t>
  </si>
  <si>
    <t>税　額　①</t>
  </si>
  <si>
    <t>税　額　②</t>
  </si>
  <si>
    <t>税　額　③</t>
  </si>
  <si>
    <t>税　　　額
(①－②＋③)</t>
  </si>
  <si>
    <t>徳島</t>
  </si>
  <si>
    <t>徳島</t>
  </si>
  <si>
    <t>鳴門</t>
  </si>
  <si>
    <t>鳴門</t>
  </si>
  <si>
    <t>阿南</t>
  </si>
  <si>
    <t>阿南</t>
  </si>
  <si>
    <t>川島</t>
  </si>
  <si>
    <t>川島</t>
  </si>
  <si>
    <t>脇町</t>
  </si>
  <si>
    <t>脇町</t>
  </si>
  <si>
    <t>池田</t>
  </si>
  <si>
    <t>池田</t>
  </si>
  <si>
    <t>徳島県計</t>
  </si>
  <si>
    <t>徳島県計</t>
  </si>
  <si>
    <t>高松</t>
  </si>
  <si>
    <t>高松</t>
  </si>
  <si>
    <t>丸亀</t>
  </si>
  <si>
    <t>丸亀</t>
  </si>
  <si>
    <t>坂出</t>
  </si>
  <si>
    <t>坂出</t>
  </si>
  <si>
    <t>観音寺</t>
  </si>
  <si>
    <t>観音寺</t>
  </si>
  <si>
    <t>長尾</t>
  </si>
  <si>
    <t>長尾</t>
  </si>
  <si>
    <t>土庄</t>
  </si>
  <si>
    <t>土庄</t>
  </si>
  <si>
    <t>香川県計</t>
  </si>
  <si>
    <t>香川県計</t>
  </si>
  <si>
    <t>松山</t>
  </si>
  <si>
    <t>松山</t>
  </si>
  <si>
    <t>今治</t>
  </si>
  <si>
    <t>今治</t>
  </si>
  <si>
    <t>宇和島</t>
  </si>
  <si>
    <t>宇和島</t>
  </si>
  <si>
    <t>八幡浜</t>
  </si>
  <si>
    <t>八幡浜</t>
  </si>
  <si>
    <t>新居浜</t>
  </si>
  <si>
    <t>新居浜</t>
  </si>
  <si>
    <t>伊予西条</t>
  </si>
  <si>
    <t>伊予西条</t>
  </si>
  <si>
    <t>大洲</t>
  </si>
  <si>
    <t>大洲</t>
  </si>
  <si>
    <t>伊予三島</t>
  </si>
  <si>
    <t>伊予三島</t>
  </si>
  <si>
    <t>愛媛県計</t>
  </si>
  <si>
    <t>愛媛県計</t>
  </si>
  <si>
    <t>高知</t>
  </si>
  <si>
    <t>高知</t>
  </si>
  <si>
    <t>安芸</t>
  </si>
  <si>
    <t>安芸</t>
  </si>
  <si>
    <t>南国</t>
  </si>
  <si>
    <t>南国</t>
  </si>
  <si>
    <t>須崎</t>
  </si>
  <si>
    <t>須崎</t>
  </si>
  <si>
    <t>中村</t>
  </si>
  <si>
    <t>中村</t>
  </si>
  <si>
    <t>伊野</t>
  </si>
  <si>
    <t>伊野</t>
  </si>
  <si>
    <t>高知県計</t>
  </si>
  <si>
    <t>高知県計</t>
  </si>
  <si>
    <t>総　計</t>
  </si>
  <si>
    <t>総　計</t>
  </si>
  <si>
    <t>(4)　税務署別課税状況（続）</t>
  </si>
  <si>
    <t>　ロ　法　　　人</t>
  </si>
  <si>
    <t>税務署名</t>
  </si>
  <si>
    <t>徳島</t>
  </si>
  <si>
    <t>鳴門</t>
  </si>
  <si>
    <t>阿南</t>
  </si>
  <si>
    <t>川島</t>
  </si>
  <si>
    <t>脇町</t>
  </si>
  <si>
    <t>池田</t>
  </si>
  <si>
    <t>徳島県計</t>
  </si>
  <si>
    <t>高松</t>
  </si>
  <si>
    <t>丸亀</t>
  </si>
  <si>
    <t>坂出</t>
  </si>
  <si>
    <t>観音寺</t>
  </si>
  <si>
    <t>　ハ　個人事業者と法人の合計</t>
  </si>
  <si>
    <t>課　税　事　業　者　等　届　出　件　数</t>
  </si>
  <si>
    <t>課税事業者
届出</t>
  </si>
  <si>
    <t>課税事業者
選択届出</t>
  </si>
  <si>
    <t>新設法人に
該当する旨
の届出</t>
  </si>
  <si>
    <t>合　　　計</t>
  </si>
  <si>
    <t>税　　額
(①－②＋③)</t>
  </si>
  <si>
    <t/>
  </si>
  <si>
    <t>香川県計</t>
  </si>
  <si>
    <t>愛媛県計</t>
  </si>
  <si>
    <t>高知県計</t>
  </si>
  <si>
    <t>平成23年度</t>
  </si>
  <si>
    <t>平成24年度</t>
  </si>
  <si>
    <t>平成25年度</t>
  </si>
  <si>
    <t>調査対象等：</t>
  </si>
  <si>
    <t>（注）１</t>
  </si>
  <si>
    <t>　　　２</t>
  </si>
  <si>
    <t>(1)　課税状況</t>
  </si>
  <si>
    <t>個　人　事　業　者</t>
  </si>
  <si>
    <t>法　　　　　人</t>
  </si>
  <si>
    <t>合　　　　　計</t>
  </si>
  <si>
    <t>現年分</t>
  </si>
  <si>
    <t>一般申告及び処理</t>
  </si>
  <si>
    <t>簡易申告及び処理</t>
  </si>
  <si>
    <t>納税申告計</t>
  </si>
  <si>
    <t>還付申告及び処理</t>
  </si>
  <si>
    <t>既往年分</t>
  </si>
  <si>
    <t>申告及び処理による
増差税額のあるもの</t>
  </si>
  <si>
    <t>申告及び処理による
減差税額のあるもの</t>
  </si>
  <si>
    <t>長尾</t>
  </si>
  <si>
    <t>土庄</t>
  </si>
  <si>
    <t>香川県計</t>
  </si>
  <si>
    <t>松山</t>
  </si>
  <si>
    <t>今治</t>
  </si>
  <si>
    <t>宇和島</t>
  </si>
  <si>
    <t>八幡浜</t>
  </si>
  <si>
    <t>新居浜</t>
  </si>
  <si>
    <t>伊予西条</t>
  </si>
  <si>
    <t>大洲</t>
  </si>
  <si>
    <t>伊予三島</t>
  </si>
  <si>
    <t>愛媛県計</t>
  </si>
  <si>
    <t>高知</t>
  </si>
  <si>
    <t>安芸</t>
  </si>
  <si>
    <t>南国</t>
  </si>
  <si>
    <t>須崎</t>
  </si>
  <si>
    <t>中村</t>
  </si>
  <si>
    <t>伊野</t>
  </si>
  <si>
    <t>高知県計</t>
  </si>
  <si>
    <t>総　計</t>
  </si>
  <si>
    <t>　税関分は含まない。</t>
  </si>
  <si>
    <t>　「件数欄」の「実」は、実件数を示す。</t>
  </si>
  <si>
    <t>　「現年分」は、平成27年４月１日から平成28年３月31日までに終了した課税期間について、平成28年６月30日現在の申告（国・地方公共団体等については平成28年９月30日までの申告を含む。）及び処理（更正、決定等）による課税事績を「申告書及び決議書」に基づいて作成した。</t>
  </si>
  <si>
    <t>　「既往年分」は、平成27年３月31日以前に終了した課税期間について、平成27年７月１日から平成28年６月30日までの間の申告（平成27年７月１日から同年９月30日までの間の国・地方公共団体等に係る申告を除く。）及び処理（更正、決定等）による課税事績を「申告書及び決議書」に基づいて作成した。</t>
  </si>
  <si>
    <t>平成26年度</t>
  </si>
  <si>
    <t>平成27年度</t>
  </si>
  <si>
    <t>調査対象等：　平成27年度末（平成28年３月31日現在）の届出件数を示している。</t>
  </si>
  <si>
    <t>（注）この表は「(1)　課税状況」の現年分及び既往年分を税務署別に示したものである（加算税を除く。）。</t>
  </si>
  <si>
    <t>（注）この表は「(1)　課税状況」の現年分及び既往年分並びに「(3)　課税事業者等届出件数」を税務署別に示したものである（加算税を除く。）。</t>
  </si>
  <si>
    <t>-</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</si>
</sst>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Red]#,##0"/>
    <numFmt numFmtId="177" formatCode="#,##0;&quot;△ &quot;#,##0"/>
  </numFmts>
  <fonts count="48">
    <font>
      <sz val="11"/>
      <name val="ＭＳ Ｐゴシック"/>
      <family val="3"/>
    </font>
    <font>
      <sz val="6"/>
      <name val="ＭＳ Ｐゴシック"/>
      <family val="3"/>
    </font>
    <font>
      <sz val="9"/>
      <name val="ＭＳ 明朝"/>
      <family val="1"/>
    </font>
    <font>
      <u val="single"/>
      <sz val="16.5"/>
      <color indexed="12"/>
      <name val="ＭＳ Ｐゴシック"/>
      <family val="3"/>
    </font>
    <font>
      <u val="single"/>
      <sz val="16.5"/>
      <color indexed="36"/>
      <name val="ＭＳ Ｐゴシック"/>
      <family val="3"/>
    </font>
    <font>
      <sz val="13"/>
      <name val="ＭＳ 明朝"/>
      <family val="1"/>
    </font>
    <font>
      <sz val="9"/>
      <name val="ＭＳ ゴシック"/>
      <family val="3"/>
    </font>
    <font>
      <sz val="8"/>
      <name val="ＭＳ 明朝"/>
      <family val="1"/>
    </font>
    <font>
      <sz val="8"/>
      <name val="ＭＳ Ｐゴシック"/>
      <family val="3"/>
    </font>
    <font>
      <sz val="11"/>
      <name val="ＭＳ ゴシック"/>
      <family val="3"/>
    </font>
    <font>
      <b/>
      <sz val="9"/>
      <name val="ＭＳ 明朝"/>
      <family val="1"/>
    </font>
    <font>
      <b/>
      <sz val="11"/>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theme="1"/>
      <name val="ＭＳ 明朝"/>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26"/>
        <bgColor indexed="64"/>
      </patternFill>
    </fill>
    <fill>
      <patternFill patternType="solid">
        <fgColor indexed="41"/>
        <bgColor indexed="64"/>
      </patternFill>
    </fill>
    <fill>
      <patternFill patternType="solid">
        <fgColor indexed="27"/>
        <bgColor indexed="64"/>
      </patternFill>
    </fill>
  </fills>
  <borders count="15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thin"/>
      <top style="thin"/>
      <bottom>
        <color indexed="63"/>
      </bottom>
    </border>
    <border>
      <left>
        <color indexed="63"/>
      </left>
      <right style="thin"/>
      <top style="thin"/>
      <bottom>
        <color indexed="63"/>
      </bottom>
    </border>
    <border>
      <left>
        <color indexed="63"/>
      </left>
      <right style="medium"/>
      <top style="thin"/>
      <bottom>
        <color indexed="63"/>
      </bottom>
    </border>
    <border>
      <left style="thin"/>
      <right style="hair"/>
      <top style="thin"/>
      <bottom>
        <color indexed="63"/>
      </bottom>
    </border>
    <border>
      <left style="medium"/>
      <right style="thin"/>
      <top style="medium"/>
      <bottom>
        <color indexed="63"/>
      </bottom>
    </border>
    <border>
      <left style="thin"/>
      <right style="thin"/>
      <top style="medium"/>
      <bottom>
        <color indexed="63"/>
      </bottom>
    </border>
    <border>
      <left style="thin"/>
      <right>
        <color indexed="63"/>
      </right>
      <top style="medium"/>
      <bottom>
        <color indexed="63"/>
      </bottom>
    </border>
    <border>
      <left style="hair"/>
      <right style="medium"/>
      <top style="thin"/>
      <bottom>
        <color indexed="63"/>
      </bottom>
    </border>
    <border>
      <left style="thin"/>
      <right style="hair"/>
      <top>
        <color indexed="63"/>
      </top>
      <bottom>
        <color indexed="63"/>
      </bottom>
    </border>
    <border>
      <left style="thin"/>
      <right style="hair"/>
      <top>
        <color indexed="63"/>
      </top>
      <bottom style="medium"/>
    </border>
    <border>
      <left style="hair"/>
      <right style="thin"/>
      <top style="thin"/>
      <bottom style="hair">
        <color indexed="55"/>
      </bottom>
    </border>
    <border>
      <left style="hair"/>
      <right style="medium"/>
      <top style="thin"/>
      <bottom style="hair">
        <color indexed="55"/>
      </bottom>
    </border>
    <border>
      <left style="hair"/>
      <right style="thin"/>
      <top style="hair">
        <color indexed="55"/>
      </top>
      <bottom style="hair">
        <color indexed="55"/>
      </bottom>
    </border>
    <border>
      <left style="hair"/>
      <right style="thin"/>
      <top style="hair">
        <color indexed="55"/>
      </top>
      <bottom style="thin"/>
    </border>
    <border>
      <left style="thin"/>
      <right style="hair"/>
      <top style="thin"/>
      <bottom style="thin"/>
    </border>
    <border>
      <left style="thin"/>
      <right style="hair"/>
      <top style="thin"/>
      <bottom style="hair">
        <color indexed="55"/>
      </bottom>
    </border>
    <border>
      <left style="thin"/>
      <right style="hair"/>
      <top style="hair">
        <color indexed="55"/>
      </top>
      <bottom style="thin"/>
    </border>
    <border>
      <left style="hair"/>
      <right style="medium"/>
      <top style="hair">
        <color indexed="55"/>
      </top>
      <bottom style="thin"/>
    </border>
    <border>
      <left style="hair"/>
      <right style="thin"/>
      <top style="hair">
        <color indexed="55"/>
      </top>
      <bottom style="medium"/>
    </border>
    <border>
      <left style="thin"/>
      <right style="hair"/>
      <top style="hair">
        <color indexed="55"/>
      </top>
      <bottom style="medium"/>
    </border>
    <border>
      <left style="hair"/>
      <right style="medium"/>
      <top style="hair">
        <color indexed="55"/>
      </top>
      <bottom style="medium"/>
    </border>
    <border>
      <left style="hair"/>
      <right style="hair"/>
      <top style="thin"/>
      <bottom>
        <color indexed="63"/>
      </bottom>
    </border>
    <border>
      <left style="hair"/>
      <right style="thin"/>
      <top>
        <color indexed="63"/>
      </top>
      <bottom style="hair">
        <color indexed="55"/>
      </bottom>
    </border>
    <border>
      <left style="hair"/>
      <right style="medium"/>
      <top>
        <color indexed="63"/>
      </top>
      <bottom style="hair">
        <color indexed="55"/>
      </bottom>
    </border>
    <border>
      <left style="medium"/>
      <right>
        <color indexed="63"/>
      </right>
      <top style="thin"/>
      <bottom>
        <color indexed="63"/>
      </bottom>
    </border>
    <border>
      <left style="thin"/>
      <right style="hair"/>
      <top>
        <color indexed="63"/>
      </top>
      <bottom style="hair">
        <color indexed="55"/>
      </bottom>
    </border>
    <border>
      <left style="medium"/>
      <right style="thin"/>
      <top style="thin"/>
      <bottom>
        <color indexed="63"/>
      </bottom>
    </border>
    <border>
      <left style="thin"/>
      <right style="thin"/>
      <top style="thin"/>
      <bottom>
        <color indexed="63"/>
      </bottom>
    </border>
    <border>
      <left style="thin"/>
      <right>
        <color indexed="63"/>
      </right>
      <top style="thin"/>
      <bottom>
        <color indexed="63"/>
      </bottom>
    </border>
    <border>
      <left style="thin"/>
      <right style="medium"/>
      <top style="thin"/>
      <bottom>
        <color indexed="63"/>
      </bottom>
    </border>
    <border>
      <left style="thin"/>
      <right style="medium"/>
      <top style="medium"/>
      <bottom>
        <color indexed="63"/>
      </bottom>
    </border>
    <border>
      <left style="thin"/>
      <right style="hair"/>
      <top style="hair"/>
      <bottom style="thin"/>
    </border>
    <border>
      <left style="hair"/>
      <right style="thin"/>
      <top style="hair"/>
      <bottom style="thin"/>
    </border>
    <border>
      <left style="hair"/>
      <right/>
      <top style="hair"/>
      <bottom style="thin"/>
    </border>
    <border>
      <left style="hair"/>
      <right/>
      <top style="thin"/>
      <bottom/>
    </border>
    <border>
      <left style="medium"/>
      <right/>
      <top/>
      <bottom style="hair">
        <color indexed="55"/>
      </bottom>
    </border>
    <border>
      <left style="thin"/>
      <right style="medium"/>
      <top style="thin">
        <color indexed="55"/>
      </top>
      <bottom style="hair">
        <color indexed="55"/>
      </bottom>
    </border>
    <border>
      <left style="medium"/>
      <right/>
      <top style="hair">
        <color indexed="55"/>
      </top>
      <bottom style="hair">
        <color indexed="55"/>
      </bottom>
    </border>
    <border>
      <left style="thin"/>
      <right style="medium"/>
      <top style="hair">
        <color indexed="55"/>
      </top>
      <bottom style="hair">
        <color indexed="55"/>
      </bottom>
    </border>
    <border>
      <left style="medium"/>
      <right/>
      <top style="hair">
        <color indexed="55"/>
      </top>
      <bottom style="thin">
        <color indexed="55"/>
      </bottom>
    </border>
    <border>
      <left style="thin"/>
      <right style="medium"/>
      <top style="hair">
        <color indexed="55"/>
      </top>
      <bottom style="thin">
        <color indexed="55"/>
      </bottom>
    </border>
    <border>
      <left style="medium"/>
      <right/>
      <top style="thin">
        <color indexed="55"/>
      </top>
      <bottom style="thin">
        <color indexed="55"/>
      </bottom>
    </border>
    <border>
      <left style="thin"/>
      <right style="medium"/>
      <top style="thin">
        <color indexed="55"/>
      </top>
      <bottom style="thin">
        <color indexed="55"/>
      </bottom>
    </border>
    <border>
      <left style="medium"/>
      <right/>
      <top/>
      <bottom style="double"/>
    </border>
    <border>
      <left style="thin"/>
      <right style="medium"/>
      <top/>
      <bottom style="double"/>
    </border>
    <border>
      <left style="medium"/>
      <right>
        <color indexed="63"/>
      </right>
      <top>
        <color indexed="63"/>
      </top>
      <bottom style="medium"/>
    </border>
    <border>
      <left style="thin"/>
      <right style="medium"/>
      <top>
        <color indexed="63"/>
      </top>
      <bottom style="medium"/>
    </border>
    <border>
      <left style="thin"/>
      <right style="medium"/>
      <top/>
      <bottom style="hair">
        <color indexed="55"/>
      </bottom>
    </border>
    <border>
      <left style="thin"/>
      <right style="medium"/>
      <top style="thin">
        <color indexed="23"/>
      </top>
      <bottom/>
    </border>
    <border>
      <left style="thin"/>
      <right style="medium"/>
      <top style="double"/>
      <bottom style="medium"/>
    </border>
    <border>
      <left style="hair"/>
      <right style="hair"/>
      <top>
        <color indexed="63"/>
      </top>
      <bottom style="hair">
        <color indexed="55"/>
      </bottom>
    </border>
    <border>
      <left style="hair"/>
      <right style="hair"/>
      <top style="hair">
        <color indexed="55"/>
      </top>
      <bottom style="hair">
        <color indexed="55"/>
      </bottom>
    </border>
    <border>
      <left style="hair"/>
      <right style="medium"/>
      <top style="hair">
        <color indexed="55"/>
      </top>
      <bottom style="hair">
        <color indexed="55"/>
      </bottom>
    </border>
    <border>
      <left style="hair"/>
      <right style="hair"/>
      <top style="hair">
        <color indexed="55"/>
      </top>
      <bottom>
        <color indexed="63"/>
      </bottom>
    </border>
    <border>
      <left style="hair"/>
      <right style="thin"/>
      <top style="hair">
        <color indexed="55"/>
      </top>
      <bottom>
        <color indexed="63"/>
      </bottom>
    </border>
    <border>
      <left style="hair"/>
      <right style="medium"/>
      <top style="hair">
        <color indexed="55"/>
      </top>
      <bottom>
        <color indexed="63"/>
      </bottom>
    </border>
    <border>
      <left style="hair"/>
      <right style="hair"/>
      <top style="thin"/>
      <bottom style="hair">
        <color indexed="55"/>
      </bottom>
    </border>
    <border>
      <left style="hair"/>
      <right style="hair"/>
      <top style="thin"/>
      <bottom style="thin"/>
    </border>
    <border>
      <left style="hair"/>
      <right style="thin"/>
      <top style="thin"/>
      <bottom style="thin"/>
    </border>
    <border>
      <left style="hair"/>
      <right style="medium"/>
      <top style="thin"/>
      <bottom style="thin"/>
    </border>
    <border>
      <left style="hair"/>
      <right style="hair"/>
      <top>
        <color indexed="63"/>
      </top>
      <bottom style="medium"/>
    </border>
    <border>
      <left style="hair"/>
      <right style="thin"/>
      <top>
        <color indexed="63"/>
      </top>
      <bottom style="medium"/>
    </border>
    <border>
      <left style="hair"/>
      <right style="medium"/>
      <top>
        <color indexed="63"/>
      </top>
      <bottom style="medium"/>
    </border>
    <border>
      <left style="hair"/>
      <right/>
      <top/>
      <bottom style="hair">
        <color indexed="55"/>
      </bottom>
    </border>
    <border>
      <left style="thin"/>
      <right style="hair"/>
      <top style="hair">
        <color indexed="55"/>
      </top>
      <bottom style="hair">
        <color indexed="55"/>
      </bottom>
    </border>
    <border>
      <left style="hair"/>
      <right/>
      <top style="hair">
        <color indexed="55"/>
      </top>
      <bottom style="hair">
        <color indexed="55"/>
      </bottom>
    </border>
    <border>
      <left style="thin"/>
      <right style="hair"/>
      <top style="hair">
        <color indexed="55"/>
      </top>
      <bottom style="thin">
        <color indexed="55"/>
      </bottom>
    </border>
    <border>
      <left style="hair"/>
      <right style="thin"/>
      <top style="hair">
        <color indexed="55"/>
      </top>
      <bottom style="thin">
        <color indexed="55"/>
      </bottom>
    </border>
    <border>
      <left style="hair"/>
      <right/>
      <top style="hair">
        <color indexed="55"/>
      </top>
      <bottom style="thin">
        <color indexed="55"/>
      </bottom>
    </border>
    <border>
      <left style="hair"/>
      <right style="hair"/>
      <top style="hair">
        <color indexed="55"/>
      </top>
      <bottom style="thin">
        <color indexed="55"/>
      </bottom>
    </border>
    <border>
      <left style="thin"/>
      <right/>
      <top style="thin">
        <color indexed="55"/>
      </top>
      <bottom style="hair"/>
    </border>
    <border>
      <left style="hair"/>
      <right style="thin"/>
      <top style="thin">
        <color indexed="55"/>
      </top>
      <bottom style="hair"/>
    </border>
    <border>
      <left style="thin"/>
      <right style="hair"/>
      <top style="thin">
        <color indexed="55"/>
      </top>
      <bottom style="hair"/>
    </border>
    <border>
      <left style="thin"/>
      <right style="hair"/>
      <top style="thin">
        <color indexed="55"/>
      </top>
      <bottom/>
    </border>
    <border>
      <left style="hair"/>
      <right style="hair"/>
      <top style="thin">
        <color indexed="55"/>
      </top>
      <bottom/>
    </border>
    <border>
      <left style="hair"/>
      <right/>
      <top style="thin">
        <color indexed="55"/>
      </top>
      <bottom/>
    </border>
    <border>
      <left style="thin"/>
      <right style="hair"/>
      <top style="thin">
        <color indexed="55"/>
      </top>
      <bottom style="hair">
        <color indexed="55"/>
      </bottom>
    </border>
    <border>
      <left style="hair"/>
      <right style="hair"/>
      <top style="thin">
        <color indexed="55"/>
      </top>
      <bottom style="hair">
        <color indexed="55"/>
      </bottom>
    </border>
    <border>
      <left style="hair"/>
      <right/>
      <top style="thin">
        <color indexed="55"/>
      </top>
      <bottom style="hair">
        <color indexed="55"/>
      </bottom>
    </border>
    <border>
      <left style="thin"/>
      <right/>
      <top style="thin">
        <color indexed="55"/>
      </top>
      <bottom style="double"/>
    </border>
    <border>
      <left style="hair"/>
      <right style="thin"/>
      <top style="thin">
        <color indexed="55"/>
      </top>
      <bottom style="double"/>
    </border>
    <border>
      <left style="thin"/>
      <right style="hair"/>
      <top style="thin">
        <color indexed="55"/>
      </top>
      <bottom style="double"/>
    </border>
    <border>
      <left style="hair"/>
      <right/>
      <top/>
      <bottom style="medium"/>
    </border>
    <border>
      <left style="thin"/>
      <right style="hair"/>
      <top style="double"/>
      <bottom style="medium"/>
    </border>
    <border>
      <left style="hair"/>
      <right style="hair"/>
      <top style="double"/>
      <bottom style="medium"/>
    </border>
    <border>
      <left style="hair"/>
      <right/>
      <top style="double"/>
      <bottom style="medium"/>
    </border>
    <border>
      <left style="medium"/>
      <right style="thin"/>
      <top>
        <color indexed="63"/>
      </top>
      <bottom style="medium"/>
    </border>
    <border>
      <left style="thin"/>
      <right style="thin"/>
      <top>
        <color indexed="63"/>
      </top>
      <bottom style="medium"/>
    </border>
    <border>
      <left style="thin"/>
      <right>
        <color indexed="63"/>
      </right>
      <top>
        <color indexed="63"/>
      </top>
      <bottom style="medium"/>
    </border>
    <border>
      <left>
        <color indexed="63"/>
      </left>
      <right>
        <color indexed="63"/>
      </right>
      <top style="medium"/>
      <bottom>
        <color indexed="63"/>
      </bottom>
    </border>
    <border>
      <left>
        <color indexed="63"/>
      </left>
      <right style="hair"/>
      <top>
        <color indexed="63"/>
      </top>
      <bottom style="hair">
        <color indexed="55"/>
      </bottom>
    </border>
    <border>
      <left>
        <color indexed="63"/>
      </left>
      <right/>
      <top/>
      <bottom style="hair">
        <color indexed="55"/>
      </bottom>
    </border>
    <border>
      <left style="hair">
        <color theme="1"/>
      </left>
      <right style="hair">
        <color theme="1"/>
      </right>
      <top style="thin"/>
      <bottom>
        <color indexed="63"/>
      </bottom>
    </border>
    <border>
      <left style="hair">
        <color theme="1"/>
      </left>
      <right style="hair">
        <color theme="1"/>
      </right>
      <top>
        <color indexed="63"/>
      </top>
      <bottom style="hair">
        <color indexed="55"/>
      </bottom>
    </border>
    <border>
      <left style="hair"/>
      <right style="thin">
        <color theme="1"/>
      </right>
      <top style="thin"/>
      <bottom/>
    </border>
    <border>
      <left style="hair"/>
      <right style="thin">
        <color theme="1"/>
      </right>
      <top/>
      <bottom style="hair">
        <color indexed="55"/>
      </bottom>
    </border>
    <border>
      <left style="hair">
        <color theme="1"/>
      </left>
      <right style="thin">
        <color theme="1"/>
      </right>
      <top style="thin"/>
      <bottom>
        <color indexed="63"/>
      </bottom>
    </border>
    <border>
      <left>
        <color indexed="63"/>
      </left>
      <right>
        <color indexed="63"/>
      </right>
      <top style="thin"/>
      <bottom>
        <color indexed="63"/>
      </bottom>
    </border>
    <border>
      <left style="thin"/>
      <right>
        <color indexed="63"/>
      </right>
      <top/>
      <bottom style="hair">
        <color indexed="55"/>
      </bottom>
    </border>
    <border>
      <left style="hair"/>
      <right style="hair">
        <color theme="1"/>
      </right>
      <top style="thin"/>
      <bottom>
        <color indexed="63"/>
      </bottom>
    </border>
    <border>
      <left style="hair"/>
      <right style="hair">
        <color theme="1"/>
      </right>
      <top>
        <color indexed="63"/>
      </top>
      <bottom style="hair">
        <color indexed="55"/>
      </bottom>
    </border>
    <border>
      <left style="medium"/>
      <right>
        <color indexed="63"/>
      </right>
      <top>
        <color indexed="63"/>
      </top>
      <bottom>
        <color indexed="63"/>
      </bottom>
    </border>
    <border>
      <left style="thin"/>
      <right style="medium"/>
      <top style="thin">
        <color indexed="23"/>
      </top>
      <bottom style="double"/>
    </border>
    <border>
      <left style="medium"/>
      <right>
        <color indexed="63"/>
      </right>
      <top style="medium"/>
      <bottom>
        <color indexed="63"/>
      </bottom>
    </border>
    <border>
      <left>
        <color indexed="63"/>
      </left>
      <right style="thin"/>
      <top style="medium"/>
      <bottom>
        <color indexed="63"/>
      </bottom>
    </border>
    <border>
      <left>
        <color indexed="63"/>
      </left>
      <right style="thin"/>
      <top>
        <color indexed="63"/>
      </top>
      <bottom>
        <color indexed="63"/>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top style="medium"/>
      <bottom style="thin"/>
    </border>
    <border>
      <left style="medium"/>
      <right style="hair"/>
      <top>
        <color indexed="63"/>
      </top>
      <bottom>
        <color indexed="63"/>
      </bottom>
    </border>
    <border>
      <left style="medium"/>
      <right style="hair"/>
      <top>
        <color indexed="63"/>
      </top>
      <bottom style="thin"/>
    </border>
    <border>
      <left style="medium"/>
      <right style="hair"/>
      <top style="thin"/>
      <bottom style="hair"/>
    </border>
    <border>
      <left style="medium"/>
      <right style="hair"/>
      <top style="hair"/>
      <bottom style="hair"/>
    </border>
    <border>
      <left style="medium"/>
      <right>
        <color indexed="63"/>
      </right>
      <top style="thin"/>
      <bottom style="thin"/>
    </border>
    <border>
      <left>
        <color indexed="63"/>
      </left>
      <right style="thin"/>
      <top style="thin"/>
      <bottom style="thin"/>
    </border>
    <border>
      <left>
        <color indexed="63"/>
      </left>
      <right style="thin"/>
      <top>
        <color indexed="63"/>
      </top>
      <bottom style="medium"/>
    </border>
    <border>
      <left style="thin"/>
      <right style="thin"/>
      <top style="medium"/>
      <bottom style="thin"/>
    </border>
    <border>
      <left>
        <color indexed="63"/>
      </left>
      <right style="medium"/>
      <top style="medium"/>
      <bottom>
        <color indexed="63"/>
      </bottom>
    </border>
    <border>
      <left style="medium"/>
      <right style="hair"/>
      <top style="hair"/>
      <bottom style="medium"/>
    </border>
    <border>
      <left style="medium"/>
      <right style="hair"/>
      <top>
        <color indexed="63"/>
      </top>
      <bottom style="hair"/>
    </border>
    <border>
      <left style="medium"/>
      <right style="hair"/>
      <top style="hair"/>
      <bottom style="thin"/>
    </border>
    <border>
      <left style="thin"/>
      <right style="hair"/>
      <top style="medium"/>
      <bottom style="hair"/>
    </border>
    <border>
      <left style="hair"/>
      <right/>
      <top style="medium"/>
      <bottom style="hair"/>
    </border>
    <border>
      <left style="thin"/>
      <right style="hair"/>
      <top style="hair"/>
      <bottom style="hair"/>
    </border>
    <border>
      <left style="hair"/>
      <right/>
      <top style="hair"/>
      <bottom style="hair"/>
    </border>
    <border>
      <left style="thin"/>
      <right style="medium"/>
      <top/>
      <bottom/>
    </border>
    <border>
      <left style="thin"/>
      <right style="medium"/>
      <top/>
      <bottom style="thin"/>
    </border>
    <border>
      <left style="thin"/>
      <right style="thin"/>
      <top style="hair"/>
      <bottom style="hair"/>
    </border>
    <border>
      <left style="hair"/>
      <right style="thin"/>
      <top style="hair"/>
      <bottom style="hair"/>
    </border>
    <border>
      <left style="medium"/>
      <right/>
      <top/>
      <bottom style="thin"/>
    </border>
    <border>
      <left style="thin"/>
      <right style="thin"/>
      <top style="medium"/>
      <bottom style="hair"/>
    </border>
    <border>
      <left/>
      <right/>
      <top/>
      <bottom style="medium"/>
    </border>
    <border>
      <left style="thin"/>
      <right style="medium"/>
      <top style="medium"/>
      <bottom style="hair"/>
    </border>
    <border>
      <left/>
      <right/>
      <top style="medium"/>
      <bottom style="hair"/>
    </border>
    <border>
      <left>
        <color indexed="63"/>
      </left>
      <right style="medium"/>
      <top/>
      <bottom/>
    </border>
    <border>
      <left>
        <color indexed="63"/>
      </left>
      <right style="medium"/>
      <top/>
      <bottom style="thin"/>
    </border>
    <border>
      <left style="thin"/>
      <right>
        <color indexed="63"/>
      </right>
      <top style="hair"/>
      <bottom>
        <color indexed="63"/>
      </bottom>
    </border>
    <border>
      <left style="thin"/>
      <right>
        <color indexed="63"/>
      </right>
      <top/>
      <bottom style="thin"/>
    </border>
    <border>
      <left style="hair"/>
      <right style="hair">
        <color theme="1"/>
      </right>
      <top style="hair"/>
      <bottom/>
    </border>
    <border>
      <left style="hair"/>
      <right style="hair">
        <color theme="1"/>
      </right>
      <top/>
      <bottom style="thin"/>
    </border>
    <border>
      <left style="hair">
        <color theme="1"/>
      </left>
      <right style="hair">
        <color theme="1"/>
      </right>
      <top style="hair"/>
      <bottom style="hair"/>
    </border>
    <border>
      <left style="hair">
        <color theme="1"/>
      </left>
      <right style="hair">
        <color theme="1"/>
      </right>
      <top style="hair"/>
      <bottom style="thin"/>
    </border>
    <border>
      <left style="hair">
        <color theme="1"/>
      </left>
      <right style="thin">
        <color theme="1"/>
      </right>
      <top style="hair"/>
      <bottom style="hair"/>
    </border>
    <border>
      <left style="hair">
        <color theme="1"/>
      </left>
      <right style="thin">
        <color theme="1"/>
      </right>
      <top style="hair"/>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0" fillId="0" borderId="0">
      <alignment/>
      <protection/>
    </xf>
    <xf numFmtId="0" fontId="4" fillId="0" borderId="0" applyNumberFormat="0" applyFill="0" applyBorder="0" applyAlignment="0" applyProtection="0"/>
    <xf numFmtId="0" fontId="46" fillId="32" borderId="0" applyNumberFormat="0" applyBorder="0" applyAlignment="0" applyProtection="0"/>
  </cellStyleXfs>
  <cellXfs count="235">
    <xf numFmtId="0" fontId="0" fillId="0" borderId="0" xfId="0" applyAlignment="1">
      <alignment/>
    </xf>
    <xf numFmtId="0" fontId="2" fillId="0" borderId="0" xfId="0" applyFont="1" applyAlignment="1">
      <alignment horizontal="left" vertical="top"/>
    </xf>
    <xf numFmtId="3" fontId="2" fillId="0" borderId="0" xfId="0" applyNumberFormat="1" applyFont="1" applyAlignment="1">
      <alignment horizontal="left" vertical="top"/>
    </xf>
    <xf numFmtId="0" fontId="6" fillId="0" borderId="0" xfId="0" applyFont="1" applyAlignment="1">
      <alignment horizontal="left" vertical="top"/>
    </xf>
    <xf numFmtId="0" fontId="2" fillId="0" borderId="0" xfId="0" applyFont="1" applyAlignment="1">
      <alignment horizontal="left" vertical="center"/>
    </xf>
    <xf numFmtId="3" fontId="2" fillId="0" borderId="0" xfId="0" applyNumberFormat="1" applyFont="1" applyAlignment="1">
      <alignment horizontal="left"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0" xfId="0" applyFont="1" applyAlignment="1">
      <alignment horizontal="left"/>
    </xf>
    <xf numFmtId="0" fontId="2" fillId="0" borderId="14" xfId="0" applyFont="1" applyBorder="1" applyAlignment="1">
      <alignment horizontal="distributed" vertical="center"/>
    </xf>
    <xf numFmtId="0" fontId="2" fillId="0" borderId="15" xfId="0" applyFont="1" applyBorder="1" applyAlignment="1">
      <alignment horizontal="distributed" vertical="center"/>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2" fillId="0" borderId="18" xfId="0" applyFont="1" applyBorder="1" applyAlignment="1">
      <alignment horizontal="right" vertical="center"/>
    </xf>
    <xf numFmtId="0" fontId="6" fillId="0" borderId="18" xfId="0" applyFont="1" applyBorder="1" applyAlignment="1">
      <alignment horizontal="right" vertical="center"/>
    </xf>
    <xf numFmtId="0" fontId="2" fillId="0" borderId="19" xfId="0" applyFont="1" applyBorder="1" applyAlignment="1">
      <alignment horizontal="right" vertical="center"/>
    </xf>
    <xf numFmtId="3" fontId="2" fillId="0" borderId="18" xfId="0" applyNumberFormat="1" applyFont="1" applyBorder="1" applyAlignment="1">
      <alignment horizontal="right" vertical="center"/>
    </xf>
    <xf numFmtId="3" fontId="2" fillId="0" borderId="19" xfId="0" applyNumberFormat="1" applyFont="1" applyBorder="1" applyAlignment="1">
      <alignment horizontal="right" vertical="center"/>
    </xf>
    <xf numFmtId="3" fontId="2" fillId="33" borderId="20" xfId="0" applyNumberFormat="1" applyFont="1" applyFill="1" applyBorder="1" applyAlignment="1">
      <alignment horizontal="right" vertical="center"/>
    </xf>
    <xf numFmtId="3" fontId="2" fillId="33" borderId="21" xfId="0" applyNumberFormat="1" applyFont="1" applyFill="1" applyBorder="1" applyAlignment="1">
      <alignment horizontal="right" vertical="center"/>
    </xf>
    <xf numFmtId="0" fontId="2" fillId="0" borderId="20" xfId="0" applyFont="1" applyBorder="1" applyAlignment="1">
      <alignment horizontal="distributed" vertical="center"/>
    </xf>
    <xf numFmtId="0" fontId="2" fillId="0" borderId="22" xfId="0" applyFont="1" applyBorder="1" applyAlignment="1">
      <alignment horizontal="distributed" vertical="center"/>
    </xf>
    <xf numFmtId="0" fontId="6" fillId="0" borderId="22" xfId="0" applyFont="1" applyBorder="1" applyAlignment="1">
      <alignment horizontal="distributed" vertical="center"/>
    </xf>
    <xf numFmtId="0" fontId="2" fillId="0" borderId="23" xfId="0" applyFont="1" applyBorder="1" applyAlignment="1">
      <alignment horizontal="distributed" vertical="center"/>
    </xf>
    <xf numFmtId="0" fontId="6" fillId="0" borderId="24" xfId="0" applyFont="1" applyBorder="1" applyAlignment="1">
      <alignment horizontal="right" vertical="center"/>
    </xf>
    <xf numFmtId="3" fontId="2" fillId="34" borderId="25" xfId="0" applyNumberFormat="1" applyFont="1" applyFill="1" applyBorder="1" applyAlignment="1">
      <alignment horizontal="right" vertical="center"/>
    </xf>
    <xf numFmtId="3" fontId="2" fillId="34" borderId="26" xfId="0" applyNumberFormat="1" applyFont="1" applyFill="1" applyBorder="1" applyAlignment="1">
      <alignment horizontal="right" vertical="center"/>
    </xf>
    <xf numFmtId="3" fontId="2" fillId="33" borderId="23" xfId="0" applyNumberFormat="1" applyFont="1" applyFill="1" applyBorder="1" applyAlignment="1">
      <alignment horizontal="right" vertical="center"/>
    </xf>
    <xf numFmtId="3" fontId="2" fillId="33" borderId="27" xfId="0" applyNumberFormat="1" applyFont="1" applyFill="1" applyBorder="1" applyAlignment="1">
      <alignment horizontal="right" vertical="center"/>
    </xf>
    <xf numFmtId="0" fontId="2" fillId="0" borderId="28" xfId="0" applyFont="1" applyBorder="1" applyAlignment="1">
      <alignment horizontal="distributed" vertical="center"/>
    </xf>
    <xf numFmtId="3" fontId="2" fillId="34" borderId="29" xfId="0" applyNumberFormat="1" applyFont="1" applyFill="1" applyBorder="1" applyAlignment="1">
      <alignment horizontal="right" vertical="center"/>
    </xf>
    <xf numFmtId="3" fontId="2" fillId="33" borderId="28" xfId="0" applyNumberFormat="1" applyFont="1" applyFill="1" applyBorder="1" applyAlignment="1">
      <alignment horizontal="right" vertical="center"/>
    </xf>
    <xf numFmtId="3" fontId="2" fillId="33" borderId="30" xfId="0" applyNumberFormat="1" applyFont="1" applyFill="1" applyBorder="1" applyAlignment="1">
      <alignment horizontal="right" vertical="center"/>
    </xf>
    <xf numFmtId="0" fontId="7" fillId="33" borderId="10" xfId="0" applyFont="1" applyFill="1" applyBorder="1" applyAlignment="1">
      <alignment horizontal="right" vertical="top"/>
    </xf>
    <xf numFmtId="0" fontId="7" fillId="34" borderId="31" xfId="0" applyFont="1" applyFill="1" applyBorder="1" applyAlignment="1">
      <alignment horizontal="right" vertical="top"/>
    </xf>
    <xf numFmtId="3" fontId="2" fillId="0" borderId="13" xfId="0" applyNumberFormat="1" applyFont="1" applyBorder="1" applyAlignment="1">
      <alignment horizontal="center" vertical="center"/>
    </xf>
    <xf numFmtId="0" fontId="2" fillId="0" borderId="18" xfId="0" applyFont="1" applyBorder="1" applyAlignment="1">
      <alignment horizontal="center" vertical="center"/>
    </xf>
    <xf numFmtId="3" fontId="2" fillId="0" borderId="18" xfId="0" applyNumberFormat="1" applyFont="1" applyBorder="1" applyAlignment="1">
      <alignment horizontal="center" vertical="center"/>
    </xf>
    <xf numFmtId="0" fontId="2" fillId="0" borderId="32" xfId="0" applyFont="1" applyBorder="1" applyAlignment="1">
      <alignment horizontal="distributed" vertical="center"/>
    </xf>
    <xf numFmtId="3" fontId="2" fillId="33" borderId="32" xfId="0" applyNumberFormat="1" applyFont="1" applyFill="1" applyBorder="1" applyAlignment="1">
      <alignment horizontal="right" vertical="center"/>
    </xf>
    <xf numFmtId="3" fontId="2" fillId="33" borderId="33" xfId="0" applyNumberFormat="1" applyFont="1" applyFill="1" applyBorder="1" applyAlignment="1">
      <alignment horizontal="right" vertical="center"/>
    </xf>
    <xf numFmtId="0" fontId="7" fillId="0" borderId="34" xfId="0" applyFont="1" applyFill="1" applyBorder="1" applyAlignment="1">
      <alignment horizontal="center" vertical="center"/>
    </xf>
    <xf numFmtId="0" fontId="7" fillId="0" borderId="13" xfId="0" applyFont="1" applyFill="1" applyBorder="1" applyAlignment="1">
      <alignment horizontal="right" vertical="top"/>
    </xf>
    <xf numFmtId="0" fontId="7" fillId="33" borderId="17" xfId="0" applyFont="1" applyFill="1" applyBorder="1" applyAlignment="1">
      <alignment horizontal="right" vertical="top"/>
    </xf>
    <xf numFmtId="0" fontId="7" fillId="0" borderId="10" xfId="0" applyFont="1" applyFill="1" applyBorder="1" applyAlignment="1">
      <alignment horizontal="center" vertical="center"/>
    </xf>
    <xf numFmtId="3" fontId="2" fillId="34" borderId="35" xfId="0" applyNumberFormat="1" applyFont="1" applyFill="1" applyBorder="1" applyAlignment="1">
      <alignment horizontal="right" vertical="center"/>
    </xf>
    <xf numFmtId="0" fontId="2" fillId="0" borderId="34" xfId="0" applyFont="1" applyBorder="1" applyAlignment="1">
      <alignment horizontal="center" vertical="center"/>
    </xf>
    <xf numFmtId="0" fontId="7" fillId="34" borderId="13" xfId="0" applyFont="1" applyFill="1" applyBorder="1" applyAlignment="1">
      <alignment horizontal="right"/>
    </xf>
    <xf numFmtId="0" fontId="7" fillId="33" borderId="10" xfId="0" applyFont="1" applyFill="1" applyBorder="1" applyAlignment="1">
      <alignment horizontal="right"/>
    </xf>
    <xf numFmtId="0" fontId="7" fillId="33" borderId="17" xfId="0" applyFont="1" applyFill="1" applyBorder="1" applyAlignment="1">
      <alignment horizontal="right"/>
    </xf>
    <xf numFmtId="0" fontId="7" fillId="34" borderId="36" xfId="0" applyFont="1" applyFill="1" applyBorder="1" applyAlignment="1">
      <alignment horizontal="right"/>
    </xf>
    <xf numFmtId="0" fontId="7" fillId="34" borderId="37" xfId="0" applyFont="1" applyFill="1" applyBorder="1" applyAlignment="1">
      <alignment horizontal="right"/>
    </xf>
    <xf numFmtId="0" fontId="7" fillId="34" borderId="38" xfId="0" applyFont="1" applyFill="1" applyBorder="1" applyAlignment="1">
      <alignment horizontal="right"/>
    </xf>
    <xf numFmtId="0" fontId="7" fillId="34" borderId="39" xfId="0" applyFont="1" applyFill="1" applyBorder="1" applyAlignment="1">
      <alignment horizontal="right"/>
    </xf>
    <xf numFmtId="0" fontId="5" fillId="0" borderId="0" xfId="0" applyFont="1" applyAlignment="1">
      <alignment horizontal="center" vertical="top"/>
    </xf>
    <xf numFmtId="0" fontId="2" fillId="0" borderId="20" xfId="0" applyFont="1" applyBorder="1" applyAlignment="1">
      <alignment horizontal="distributed" vertical="center" wrapText="1"/>
    </xf>
    <xf numFmtId="0" fontId="2" fillId="0" borderId="22" xfId="0" applyFont="1" applyBorder="1" applyAlignment="1">
      <alignment horizontal="distributed" vertical="center" wrapText="1"/>
    </xf>
    <xf numFmtId="0" fontId="2" fillId="0" borderId="0" xfId="0" applyFont="1" applyBorder="1" applyAlignment="1">
      <alignment horizontal="left" vertical="top"/>
    </xf>
    <xf numFmtId="0" fontId="0" fillId="0" borderId="0" xfId="0" applyFont="1" applyAlignment="1">
      <alignment/>
    </xf>
    <xf numFmtId="0" fontId="2" fillId="0" borderId="40" xfId="0" applyFont="1" applyBorder="1" applyAlignment="1">
      <alignment horizontal="distributed" vertical="center" indent="1"/>
    </xf>
    <xf numFmtId="0" fontId="2" fillId="0" borderId="0" xfId="61" applyFont="1" applyAlignment="1">
      <alignment horizontal="left" vertical="center"/>
      <protection/>
    </xf>
    <xf numFmtId="0" fontId="2" fillId="0" borderId="0" xfId="61" applyFont="1" applyAlignment="1">
      <alignment horizontal="left" vertical="top"/>
      <protection/>
    </xf>
    <xf numFmtId="0" fontId="2" fillId="0" borderId="41" xfId="61" applyFont="1" applyBorder="1" applyAlignment="1">
      <alignment horizontal="distributed" vertical="center" indent="1"/>
      <protection/>
    </xf>
    <xf numFmtId="0" fontId="2" fillId="0" borderId="42" xfId="61" applyFont="1" applyBorder="1" applyAlignment="1">
      <alignment horizontal="distributed" vertical="center" indent="1"/>
      <protection/>
    </xf>
    <xf numFmtId="0" fontId="2" fillId="0" borderId="42" xfId="61" applyFont="1" applyBorder="1" applyAlignment="1">
      <alignment horizontal="center" vertical="center"/>
      <protection/>
    </xf>
    <xf numFmtId="0" fontId="2" fillId="0" borderId="43" xfId="61" applyFont="1" applyBorder="1" applyAlignment="1">
      <alignment horizontal="center" vertical="center"/>
      <protection/>
    </xf>
    <xf numFmtId="0" fontId="2" fillId="0" borderId="43" xfId="61" applyFont="1" applyBorder="1" applyAlignment="1">
      <alignment horizontal="centerContinuous" vertical="center" wrapText="1"/>
      <protection/>
    </xf>
    <xf numFmtId="0" fontId="7" fillId="35" borderId="34" xfId="61" applyFont="1" applyFill="1" applyBorder="1" applyAlignment="1">
      <alignment horizontal="distributed" vertical="top"/>
      <protection/>
    </xf>
    <xf numFmtId="0" fontId="7" fillId="34" borderId="13" xfId="61" applyFont="1" applyFill="1" applyBorder="1" applyAlignment="1">
      <alignment horizontal="right" vertical="top"/>
      <protection/>
    </xf>
    <xf numFmtId="0" fontId="7" fillId="33" borderId="10" xfId="61" applyFont="1" applyFill="1" applyBorder="1" applyAlignment="1">
      <alignment horizontal="right" vertical="top"/>
      <protection/>
    </xf>
    <xf numFmtId="0" fontId="7" fillId="33" borderId="44" xfId="61" applyFont="1" applyFill="1" applyBorder="1" applyAlignment="1">
      <alignment horizontal="right" vertical="top"/>
      <protection/>
    </xf>
    <xf numFmtId="0" fontId="7" fillId="35" borderId="39" xfId="61" applyFont="1" applyFill="1" applyBorder="1" applyAlignment="1">
      <alignment horizontal="distributed" vertical="top"/>
      <protection/>
    </xf>
    <xf numFmtId="0" fontId="8" fillId="0" borderId="0" xfId="61" applyFont="1" applyAlignment="1">
      <alignment horizontal="right" vertical="top"/>
      <protection/>
    </xf>
    <xf numFmtId="0" fontId="2" fillId="36" borderId="45" xfId="61" applyFont="1" applyFill="1" applyBorder="1" applyAlignment="1">
      <alignment horizontal="distributed" vertical="center"/>
      <protection/>
    </xf>
    <xf numFmtId="0" fontId="2" fillId="36" borderId="46" xfId="61" applyFont="1" applyFill="1" applyBorder="1" applyAlignment="1">
      <alignment horizontal="distributed" vertical="center"/>
      <protection/>
    </xf>
    <xf numFmtId="0" fontId="9" fillId="0" borderId="0" xfId="61" applyFont="1">
      <alignment/>
      <protection/>
    </xf>
    <xf numFmtId="0" fontId="2" fillId="36" borderId="47" xfId="61" applyFont="1" applyFill="1" applyBorder="1" applyAlignment="1">
      <alignment horizontal="distributed" vertical="center"/>
      <protection/>
    </xf>
    <xf numFmtId="0" fontId="2" fillId="36" borderId="48" xfId="61" applyFont="1" applyFill="1" applyBorder="1" applyAlignment="1">
      <alignment horizontal="distributed" vertical="center"/>
      <protection/>
    </xf>
    <xf numFmtId="0" fontId="6" fillId="36" borderId="49" xfId="61" applyFont="1" applyFill="1" applyBorder="1" applyAlignment="1">
      <alignment horizontal="distributed" vertical="center"/>
      <protection/>
    </xf>
    <xf numFmtId="0" fontId="6" fillId="36" borderId="50" xfId="61" applyFont="1" applyFill="1" applyBorder="1" applyAlignment="1">
      <alignment horizontal="distributed" vertical="center"/>
      <protection/>
    </xf>
    <xf numFmtId="0" fontId="10" fillId="0" borderId="51" xfId="61" applyFont="1" applyFill="1" applyBorder="1" applyAlignment="1">
      <alignment horizontal="distributed" vertical="center"/>
      <protection/>
    </xf>
    <xf numFmtId="0" fontId="10" fillId="0" borderId="52" xfId="61" applyFont="1" applyFill="1" applyBorder="1" applyAlignment="1">
      <alignment horizontal="center" vertical="center"/>
      <protection/>
    </xf>
    <xf numFmtId="0" fontId="10" fillId="0" borderId="53" xfId="61" applyFont="1" applyFill="1" applyBorder="1" applyAlignment="1">
      <alignment horizontal="distributed" vertical="center"/>
      <protection/>
    </xf>
    <xf numFmtId="0" fontId="10" fillId="0" borderId="54" xfId="61" applyFont="1" applyFill="1" applyBorder="1" applyAlignment="1">
      <alignment horizontal="center" vertical="center"/>
      <protection/>
    </xf>
    <xf numFmtId="0" fontId="11" fillId="0" borderId="0" xfId="61" applyFont="1">
      <alignment/>
      <protection/>
    </xf>
    <xf numFmtId="0" fontId="6" fillId="0" borderId="55" xfId="61" applyFont="1" applyBorder="1" applyAlignment="1">
      <alignment horizontal="center" vertical="center"/>
      <protection/>
    </xf>
    <xf numFmtId="0" fontId="6" fillId="0" borderId="56" xfId="61" applyFont="1" applyBorder="1" applyAlignment="1">
      <alignment horizontal="center" vertical="center"/>
      <protection/>
    </xf>
    <xf numFmtId="0" fontId="2" fillId="0" borderId="0" xfId="61" applyFont="1" applyBorder="1" applyAlignment="1">
      <alignment horizontal="left" vertical="center"/>
      <protection/>
    </xf>
    <xf numFmtId="0" fontId="8" fillId="0" borderId="0" xfId="61" applyFont="1" applyAlignment="1">
      <alignment vertical="top"/>
      <protection/>
    </xf>
    <xf numFmtId="0" fontId="2" fillId="0" borderId="42" xfId="61" applyFont="1" applyBorder="1" applyAlignment="1">
      <alignment horizontal="center" vertical="center" wrapText="1"/>
      <protection/>
    </xf>
    <xf numFmtId="0" fontId="2" fillId="36" borderId="57" xfId="61" applyFont="1" applyFill="1" applyBorder="1" applyAlignment="1">
      <alignment horizontal="distributed" vertical="center"/>
      <protection/>
    </xf>
    <xf numFmtId="0" fontId="10" fillId="0" borderId="58" xfId="61" applyFont="1" applyFill="1" applyBorder="1" applyAlignment="1">
      <alignment horizontal="center" vertical="center"/>
      <protection/>
    </xf>
    <xf numFmtId="0" fontId="6" fillId="0" borderId="59" xfId="61" applyFont="1" applyBorder="1" applyAlignment="1">
      <alignment horizontal="center" vertical="center"/>
      <protection/>
    </xf>
    <xf numFmtId="3" fontId="2" fillId="34" borderId="60" xfId="0" applyNumberFormat="1" applyFont="1" applyFill="1" applyBorder="1" applyAlignment="1">
      <alignment horizontal="right" vertical="center"/>
    </xf>
    <xf numFmtId="3" fontId="2" fillId="34" borderId="61" xfId="0" applyNumberFormat="1" applyFont="1" applyFill="1" applyBorder="1" applyAlignment="1">
      <alignment horizontal="right" vertical="center"/>
    </xf>
    <xf numFmtId="3" fontId="2" fillId="33" borderId="22" xfId="0" applyNumberFormat="1" applyFont="1" applyFill="1" applyBorder="1" applyAlignment="1">
      <alignment horizontal="right" vertical="center"/>
    </xf>
    <xf numFmtId="3" fontId="2" fillId="33" borderId="62" xfId="0" applyNumberFormat="1" applyFont="1" applyFill="1" applyBorder="1" applyAlignment="1">
      <alignment horizontal="right" vertical="center"/>
    </xf>
    <xf numFmtId="3" fontId="6" fillId="34" borderId="61" xfId="0" applyNumberFormat="1" applyFont="1" applyFill="1" applyBorder="1" applyAlignment="1">
      <alignment horizontal="right" vertical="center"/>
    </xf>
    <xf numFmtId="3" fontId="6" fillId="33" borderId="22" xfId="0" applyNumberFormat="1" applyFont="1" applyFill="1" applyBorder="1" applyAlignment="1">
      <alignment horizontal="right" vertical="center"/>
    </xf>
    <xf numFmtId="3" fontId="6" fillId="33" borderId="62" xfId="0" applyNumberFormat="1" applyFont="1" applyFill="1" applyBorder="1" applyAlignment="1">
      <alignment horizontal="right" vertical="center"/>
    </xf>
    <xf numFmtId="3" fontId="2" fillId="34" borderId="63" xfId="0" applyNumberFormat="1" applyFont="1" applyFill="1" applyBorder="1" applyAlignment="1">
      <alignment horizontal="right" vertical="center"/>
    </xf>
    <xf numFmtId="3" fontId="2" fillId="33" borderId="64" xfId="0" applyNumberFormat="1" applyFont="1" applyFill="1" applyBorder="1" applyAlignment="1">
      <alignment horizontal="right" vertical="center"/>
    </xf>
    <xf numFmtId="3" fontId="2" fillId="33" borderId="65" xfId="0" applyNumberFormat="1" applyFont="1" applyFill="1" applyBorder="1" applyAlignment="1">
      <alignment horizontal="right" vertical="center"/>
    </xf>
    <xf numFmtId="3" fontId="2" fillId="34" borderId="66" xfId="0" applyNumberFormat="1" applyFont="1" applyFill="1" applyBorder="1" applyAlignment="1">
      <alignment horizontal="right" vertical="center"/>
    </xf>
    <xf numFmtId="3" fontId="2" fillId="34" borderId="66" xfId="0" applyNumberFormat="1" applyFont="1" applyFill="1" applyBorder="1" applyAlignment="1">
      <alignment vertical="center"/>
    </xf>
    <xf numFmtId="3" fontId="2" fillId="34" borderId="61" xfId="0" applyNumberFormat="1" applyFont="1" applyFill="1" applyBorder="1" applyAlignment="1">
      <alignment vertical="center"/>
    </xf>
    <xf numFmtId="3" fontId="6" fillId="34" borderId="67" xfId="0" applyNumberFormat="1" applyFont="1" applyFill="1" applyBorder="1" applyAlignment="1">
      <alignment horizontal="right" vertical="center"/>
    </xf>
    <xf numFmtId="3" fontId="6" fillId="33" borderId="68" xfId="0" applyNumberFormat="1" applyFont="1" applyFill="1" applyBorder="1" applyAlignment="1">
      <alignment horizontal="right" vertical="center"/>
    </xf>
    <xf numFmtId="3" fontId="6" fillId="33" borderId="69" xfId="0" applyNumberFormat="1" applyFont="1" applyFill="1" applyBorder="1" applyAlignment="1">
      <alignment horizontal="right" vertical="center"/>
    </xf>
    <xf numFmtId="3" fontId="2" fillId="34" borderId="70" xfId="0" applyNumberFormat="1" applyFont="1" applyFill="1" applyBorder="1" applyAlignment="1">
      <alignment horizontal="right" vertical="center"/>
    </xf>
    <xf numFmtId="3" fontId="2" fillId="33" borderId="71" xfId="0" applyNumberFormat="1" applyFont="1" applyFill="1" applyBorder="1" applyAlignment="1">
      <alignment horizontal="right" vertical="center"/>
    </xf>
    <xf numFmtId="3" fontId="2" fillId="33" borderId="72" xfId="0" applyNumberFormat="1" applyFont="1" applyFill="1" applyBorder="1" applyAlignment="1">
      <alignment horizontal="right" vertical="center"/>
    </xf>
    <xf numFmtId="0" fontId="0" fillId="0" borderId="0" xfId="61" applyFont="1">
      <alignment/>
      <protection/>
    </xf>
    <xf numFmtId="177" fontId="2" fillId="34" borderId="35" xfId="61" applyNumberFormat="1" applyFont="1" applyFill="1" applyBorder="1" applyAlignment="1">
      <alignment horizontal="right" vertical="center"/>
      <protection/>
    </xf>
    <xf numFmtId="177" fontId="2" fillId="33" borderId="32" xfId="61" applyNumberFormat="1" applyFont="1" applyFill="1" applyBorder="1" applyAlignment="1">
      <alignment horizontal="right" vertical="center"/>
      <protection/>
    </xf>
    <xf numFmtId="177" fontId="2" fillId="33" borderId="73" xfId="61" applyNumberFormat="1" applyFont="1" applyFill="1" applyBorder="1" applyAlignment="1">
      <alignment horizontal="right" vertical="center"/>
      <protection/>
    </xf>
    <xf numFmtId="177" fontId="2" fillId="34" borderId="60" xfId="61" applyNumberFormat="1" applyFont="1" applyFill="1" applyBorder="1" applyAlignment="1">
      <alignment horizontal="right" vertical="center"/>
      <protection/>
    </xf>
    <xf numFmtId="177" fontId="2" fillId="34" borderId="73" xfId="61" applyNumberFormat="1" applyFont="1" applyFill="1" applyBorder="1" applyAlignment="1">
      <alignment horizontal="right" vertical="center"/>
      <protection/>
    </xf>
    <xf numFmtId="177" fontId="2" fillId="34" borderId="74" xfId="61" applyNumberFormat="1" applyFont="1" applyFill="1" applyBorder="1" applyAlignment="1">
      <alignment horizontal="right" vertical="center"/>
      <protection/>
    </xf>
    <xf numFmtId="177" fontId="2" fillId="33" borderId="22" xfId="61" applyNumberFormat="1" applyFont="1" applyFill="1" applyBorder="1" applyAlignment="1">
      <alignment horizontal="right" vertical="center"/>
      <protection/>
    </xf>
    <xf numFmtId="177" fontId="2" fillId="33" borderId="75" xfId="61" applyNumberFormat="1" applyFont="1" applyFill="1" applyBorder="1" applyAlignment="1">
      <alignment horizontal="right" vertical="center"/>
      <protection/>
    </xf>
    <xf numFmtId="177" fontId="6" fillId="34" borderId="76" xfId="61" applyNumberFormat="1" applyFont="1" applyFill="1" applyBorder="1" applyAlignment="1">
      <alignment horizontal="right" vertical="center"/>
      <protection/>
    </xf>
    <xf numFmtId="177" fontId="6" fillId="33" borderId="77" xfId="61" applyNumberFormat="1" applyFont="1" applyFill="1" applyBorder="1" applyAlignment="1">
      <alignment horizontal="right" vertical="center"/>
      <protection/>
    </xf>
    <xf numFmtId="177" fontId="6" fillId="33" borderId="78" xfId="61" applyNumberFormat="1" applyFont="1" applyFill="1" applyBorder="1" applyAlignment="1">
      <alignment horizontal="right" vertical="center"/>
      <protection/>
    </xf>
    <xf numFmtId="177" fontId="6" fillId="34" borderId="79" xfId="61" applyNumberFormat="1" applyFont="1" applyFill="1" applyBorder="1" applyAlignment="1">
      <alignment horizontal="right" vertical="center"/>
      <protection/>
    </xf>
    <xf numFmtId="177" fontId="6" fillId="34" borderId="78" xfId="61" applyNumberFormat="1" applyFont="1" applyFill="1" applyBorder="1" applyAlignment="1">
      <alignment horizontal="right" vertical="center"/>
      <protection/>
    </xf>
    <xf numFmtId="177" fontId="10" fillId="0" borderId="80" xfId="61" applyNumberFormat="1" applyFont="1" applyFill="1" applyBorder="1" applyAlignment="1">
      <alignment horizontal="right" vertical="center"/>
      <protection/>
    </xf>
    <xf numFmtId="177" fontId="10" fillId="0" borderId="81" xfId="61" applyNumberFormat="1" applyFont="1" applyFill="1" applyBorder="1" applyAlignment="1">
      <alignment horizontal="right" vertical="center"/>
      <protection/>
    </xf>
    <xf numFmtId="177" fontId="10" fillId="0" borderId="82" xfId="61" applyNumberFormat="1" applyFont="1" applyFill="1" applyBorder="1" applyAlignment="1">
      <alignment horizontal="right" vertical="center"/>
      <protection/>
    </xf>
    <xf numFmtId="177" fontId="2" fillId="0" borderId="83" xfId="61" applyNumberFormat="1" applyFont="1" applyFill="1" applyBorder="1" applyAlignment="1">
      <alignment horizontal="right" vertical="center"/>
      <protection/>
    </xf>
    <xf numFmtId="177" fontId="2" fillId="0" borderId="84" xfId="61" applyNumberFormat="1" applyFont="1" applyFill="1" applyBorder="1" applyAlignment="1">
      <alignment horizontal="right" vertical="center"/>
      <protection/>
    </xf>
    <xf numFmtId="177" fontId="2" fillId="0" borderId="85" xfId="61" applyNumberFormat="1" applyFont="1" applyFill="1" applyBorder="1" applyAlignment="1">
      <alignment horizontal="right" vertical="center"/>
      <protection/>
    </xf>
    <xf numFmtId="177" fontId="2" fillId="34" borderId="86" xfId="61" applyNumberFormat="1" applyFont="1" applyFill="1" applyBorder="1" applyAlignment="1">
      <alignment horizontal="right" vertical="center"/>
      <protection/>
    </xf>
    <xf numFmtId="177" fontId="2" fillId="34" borderId="87" xfId="61" applyNumberFormat="1" applyFont="1" applyFill="1" applyBorder="1" applyAlignment="1">
      <alignment horizontal="right" vertical="center"/>
      <protection/>
    </xf>
    <xf numFmtId="177" fontId="2" fillId="34" borderId="88" xfId="61" applyNumberFormat="1" applyFont="1" applyFill="1" applyBorder="1" applyAlignment="1">
      <alignment horizontal="right" vertical="center"/>
      <protection/>
    </xf>
    <xf numFmtId="177" fontId="2" fillId="0" borderId="89" xfId="61" applyNumberFormat="1" applyFont="1" applyFill="1" applyBorder="1" applyAlignment="1">
      <alignment horizontal="right" vertical="center"/>
      <protection/>
    </xf>
    <xf numFmtId="177" fontId="2" fillId="0" borderId="90" xfId="61" applyNumberFormat="1" applyFont="1" applyFill="1" applyBorder="1" applyAlignment="1">
      <alignment horizontal="right" vertical="center"/>
      <protection/>
    </xf>
    <xf numFmtId="177" fontId="2" fillId="0" borderId="91" xfId="61" applyNumberFormat="1" applyFont="1" applyFill="1" applyBorder="1" applyAlignment="1">
      <alignment horizontal="right" vertical="center"/>
      <protection/>
    </xf>
    <xf numFmtId="177" fontId="6" fillId="34" borderId="19" xfId="61" applyNumberFormat="1" applyFont="1" applyFill="1" applyBorder="1" applyAlignment="1">
      <alignment horizontal="right" vertical="center"/>
      <protection/>
    </xf>
    <xf numFmtId="177" fontId="6" fillId="33" borderId="71" xfId="61" applyNumberFormat="1" applyFont="1" applyFill="1" applyBorder="1" applyAlignment="1">
      <alignment horizontal="right" vertical="center"/>
      <protection/>
    </xf>
    <xf numFmtId="177" fontId="6" fillId="33" borderId="92" xfId="61" applyNumberFormat="1" applyFont="1" applyFill="1" applyBorder="1" applyAlignment="1">
      <alignment horizontal="right" vertical="center"/>
      <protection/>
    </xf>
    <xf numFmtId="177" fontId="6" fillId="34" borderId="93" xfId="61" applyNumberFormat="1" applyFont="1" applyFill="1" applyBorder="1" applyAlignment="1">
      <alignment horizontal="right" vertical="center"/>
      <protection/>
    </xf>
    <xf numFmtId="177" fontId="6" fillId="34" borderId="94" xfId="61" applyNumberFormat="1" applyFont="1" applyFill="1" applyBorder="1" applyAlignment="1">
      <alignment horizontal="right" vertical="center"/>
      <protection/>
    </xf>
    <xf numFmtId="177" fontId="6" fillId="34" borderId="95" xfId="61" applyNumberFormat="1" applyFont="1" applyFill="1" applyBorder="1" applyAlignment="1">
      <alignment horizontal="right" vertical="center"/>
      <protection/>
    </xf>
    <xf numFmtId="0" fontId="0" fillId="0" borderId="0" xfId="61" applyFont="1" applyAlignment="1">
      <alignment horizontal="center"/>
      <protection/>
    </xf>
    <xf numFmtId="0" fontId="0" fillId="0" borderId="0" xfId="61" applyFont="1" applyBorder="1">
      <alignment/>
      <protection/>
    </xf>
    <xf numFmtId="3" fontId="2" fillId="34" borderId="96" xfId="0" applyNumberFormat="1" applyFont="1" applyFill="1" applyBorder="1" applyAlignment="1">
      <alignment horizontal="right" vertical="center" indent="1"/>
    </xf>
    <xf numFmtId="3" fontId="2" fillId="34" borderId="97" xfId="0" applyNumberFormat="1" applyFont="1" applyFill="1" applyBorder="1" applyAlignment="1">
      <alignment horizontal="right" vertical="center" indent="1"/>
    </xf>
    <xf numFmtId="3" fontId="2" fillId="34" borderId="98" xfId="0" applyNumberFormat="1" applyFont="1" applyFill="1" applyBorder="1" applyAlignment="1">
      <alignment horizontal="right" vertical="center" indent="1"/>
    </xf>
    <xf numFmtId="3" fontId="2" fillId="34" borderId="56" xfId="0" applyNumberFormat="1" applyFont="1" applyFill="1" applyBorder="1" applyAlignment="1">
      <alignment horizontal="right" vertical="center" indent="1"/>
    </xf>
    <xf numFmtId="0" fontId="2" fillId="0" borderId="99" xfId="0" applyFont="1" applyBorder="1" applyAlignment="1">
      <alignment horizontal="right" vertical="top" wrapText="1"/>
    </xf>
    <xf numFmtId="0" fontId="2" fillId="0" borderId="0" xfId="0" applyFont="1" applyAlignment="1">
      <alignment horizontal="right" vertical="top"/>
    </xf>
    <xf numFmtId="0" fontId="2" fillId="0" borderId="0" xfId="0" applyFont="1" applyAlignment="1" quotePrefix="1">
      <alignment horizontal="right" vertical="top"/>
    </xf>
    <xf numFmtId="177" fontId="47" fillId="34" borderId="60" xfId="61" applyNumberFormat="1" applyFont="1" applyFill="1" applyBorder="1" applyAlignment="1">
      <alignment horizontal="right" vertical="center"/>
      <protection/>
    </xf>
    <xf numFmtId="177" fontId="2" fillId="34" borderId="100" xfId="61" applyNumberFormat="1" applyFont="1" applyFill="1" applyBorder="1" applyAlignment="1">
      <alignment horizontal="right" vertical="center"/>
      <protection/>
    </xf>
    <xf numFmtId="177" fontId="2" fillId="34" borderId="101" xfId="61" applyNumberFormat="1" applyFont="1" applyFill="1" applyBorder="1" applyAlignment="1">
      <alignment horizontal="right" vertical="center"/>
      <protection/>
    </xf>
    <xf numFmtId="0" fontId="7" fillId="34" borderId="102" xfId="0" applyFont="1" applyFill="1" applyBorder="1" applyAlignment="1">
      <alignment horizontal="right"/>
    </xf>
    <xf numFmtId="177" fontId="2" fillId="34" borderId="103" xfId="61" applyNumberFormat="1" applyFont="1" applyFill="1" applyBorder="1" applyAlignment="1">
      <alignment horizontal="right" vertical="center"/>
      <protection/>
    </xf>
    <xf numFmtId="0" fontId="7" fillId="33" borderId="104" xfId="61" applyFont="1" applyFill="1" applyBorder="1" applyAlignment="1">
      <alignment horizontal="right" vertical="top"/>
      <protection/>
    </xf>
    <xf numFmtId="177" fontId="2" fillId="33" borderId="105" xfId="61" applyNumberFormat="1" applyFont="1" applyFill="1" applyBorder="1" applyAlignment="1">
      <alignment horizontal="right" vertical="center"/>
      <protection/>
    </xf>
    <xf numFmtId="0" fontId="7" fillId="34" borderId="106" xfId="0" applyFont="1" applyFill="1" applyBorder="1" applyAlignment="1">
      <alignment horizontal="right"/>
    </xf>
    <xf numFmtId="0" fontId="7" fillId="34" borderId="107" xfId="0" applyFont="1" applyFill="1" applyBorder="1" applyAlignment="1">
      <alignment horizontal="right"/>
    </xf>
    <xf numFmtId="177" fontId="2" fillId="34" borderId="108" xfId="61" applyNumberFormat="1" applyFont="1" applyFill="1" applyBorder="1" applyAlignment="1">
      <alignment horizontal="right" vertical="center"/>
      <protection/>
    </xf>
    <xf numFmtId="0" fontId="7" fillId="34" borderId="109" xfId="0" applyFont="1" applyFill="1" applyBorder="1" applyAlignment="1">
      <alignment horizontal="right"/>
    </xf>
    <xf numFmtId="177" fontId="2" fillId="34" borderId="110" xfId="61" applyNumberFormat="1" applyFont="1" applyFill="1" applyBorder="1" applyAlignment="1">
      <alignment horizontal="right" vertical="center"/>
      <protection/>
    </xf>
    <xf numFmtId="0" fontId="0" fillId="0" borderId="111" xfId="61" applyFont="1" applyBorder="1">
      <alignment/>
      <protection/>
    </xf>
    <xf numFmtId="0" fontId="0" fillId="0" borderId="111" xfId="61" applyFont="1" applyBorder="1">
      <alignment/>
      <protection/>
    </xf>
    <xf numFmtId="0" fontId="8" fillId="0" borderId="111" xfId="61" applyFont="1" applyBorder="1" applyAlignment="1">
      <alignment vertical="top"/>
      <protection/>
    </xf>
    <xf numFmtId="0" fontId="7" fillId="35" borderId="12" xfId="61" applyFont="1" applyFill="1" applyBorder="1" applyAlignment="1">
      <alignment horizontal="distributed" vertical="top"/>
      <protection/>
    </xf>
    <xf numFmtId="0" fontId="10" fillId="0" borderId="112" xfId="61" applyFont="1" applyFill="1" applyBorder="1" applyAlignment="1">
      <alignment horizontal="center" vertical="center"/>
      <protection/>
    </xf>
    <xf numFmtId="0" fontId="5" fillId="0" borderId="0" xfId="0" applyFont="1" applyAlignment="1">
      <alignment horizontal="center" vertical="top"/>
    </xf>
    <xf numFmtId="0" fontId="2" fillId="0" borderId="0" xfId="0" applyFont="1" applyAlignment="1">
      <alignment horizontal="left" vertical="top"/>
    </xf>
    <xf numFmtId="0" fontId="2" fillId="0" borderId="113" xfId="0" applyFont="1" applyBorder="1" applyAlignment="1">
      <alignment horizontal="center" vertical="center"/>
    </xf>
    <xf numFmtId="0" fontId="2" fillId="0" borderId="114" xfId="0" applyFont="1" applyBorder="1" applyAlignment="1">
      <alignment horizontal="center" vertical="center"/>
    </xf>
    <xf numFmtId="0" fontId="2" fillId="0" borderId="111" xfId="0" applyFont="1" applyBorder="1" applyAlignment="1">
      <alignment horizontal="center" vertical="center"/>
    </xf>
    <xf numFmtId="0" fontId="2" fillId="0" borderId="115" xfId="0" applyFont="1" applyBorder="1" applyAlignment="1">
      <alignment horizontal="center" vertical="center"/>
    </xf>
    <xf numFmtId="0" fontId="2" fillId="0" borderId="116" xfId="0" applyFont="1" applyBorder="1" applyAlignment="1">
      <alignment horizontal="center" vertical="center"/>
    </xf>
    <xf numFmtId="0" fontId="2" fillId="0" borderId="117" xfId="0" applyFont="1" applyBorder="1" applyAlignment="1">
      <alignment horizontal="center" vertical="center"/>
    </xf>
    <xf numFmtId="0" fontId="2" fillId="0" borderId="118" xfId="0" applyFont="1" applyBorder="1" applyAlignment="1">
      <alignment horizontal="center" vertical="center"/>
    </xf>
    <xf numFmtId="0" fontId="2" fillId="0" borderId="119" xfId="0" applyFont="1" applyBorder="1" applyAlignment="1">
      <alignment horizontal="center" vertical="center"/>
    </xf>
    <xf numFmtId="0" fontId="2" fillId="0" borderId="13" xfId="0" applyFont="1" applyBorder="1" applyAlignment="1">
      <alignment horizontal="center" vertical="center"/>
    </xf>
    <xf numFmtId="0" fontId="2" fillId="0" borderId="31" xfId="0" applyFont="1" applyBorder="1" applyAlignment="1">
      <alignment horizontal="center" vertical="center"/>
    </xf>
    <xf numFmtId="0" fontId="2" fillId="0" borderId="120" xfId="0" applyFont="1" applyBorder="1" applyAlignment="1">
      <alignment horizontal="distributed" vertical="center" wrapText="1"/>
    </xf>
    <xf numFmtId="0" fontId="2" fillId="0" borderId="120" xfId="0" applyFont="1" applyBorder="1" applyAlignment="1">
      <alignment horizontal="distributed" vertical="center"/>
    </xf>
    <xf numFmtId="0" fontId="2" fillId="0" borderId="121" xfId="0" applyFont="1" applyBorder="1" applyAlignment="1">
      <alignment horizontal="distributed" vertical="center"/>
    </xf>
    <xf numFmtId="0" fontId="2" fillId="0" borderId="122" xfId="0" applyFont="1" applyBorder="1" applyAlignment="1">
      <alignment horizontal="distributed" vertical="center" wrapText="1"/>
    </xf>
    <xf numFmtId="0" fontId="2" fillId="0" borderId="123" xfId="0" applyFont="1" applyBorder="1" applyAlignment="1">
      <alignment horizontal="distributed" vertical="center"/>
    </xf>
    <xf numFmtId="0" fontId="6" fillId="0" borderId="124" xfId="0" applyFont="1" applyBorder="1" applyAlignment="1">
      <alignment horizontal="distributed" vertical="center"/>
    </xf>
    <xf numFmtId="0" fontId="6" fillId="0" borderId="125" xfId="0" applyFont="1" applyBorder="1" applyAlignment="1">
      <alignment horizontal="distributed" vertical="center"/>
    </xf>
    <xf numFmtId="0" fontId="2" fillId="0" borderId="55" xfId="0" applyFont="1" applyBorder="1" applyAlignment="1">
      <alignment horizontal="distributed" vertical="center"/>
    </xf>
    <xf numFmtId="0" fontId="2" fillId="0" borderId="126" xfId="0" applyFont="1" applyBorder="1" applyAlignment="1">
      <alignment horizontal="distributed" vertical="center"/>
    </xf>
    <xf numFmtId="0" fontId="2" fillId="0" borderId="99" xfId="0" applyFont="1" applyBorder="1" applyAlignment="1">
      <alignment horizontal="left" vertical="top" wrapText="1"/>
    </xf>
    <xf numFmtId="0" fontId="2" fillId="0" borderId="0" xfId="0" applyFont="1" applyAlignment="1">
      <alignment horizontal="left" vertical="top" wrapText="1"/>
    </xf>
    <xf numFmtId="0" fontId="2" fillId="0" borderId="127" xfId="0" applyFont="1" applyBorder="1" applyAlignment="1">
      <alignment horizontal="center" vertical="center"/>
    </xf>
    <xf numFmtId="0" fontId="2" fillId="0" borderId="99" xfId="0" applyFont="1" applyBorder="1" applyAlignment="1">
      <alignment horizontal="center" vertical="center"/>
    </xf>
    <xf numFmtId="0" fontId="2" fillId="0" borderId="128" xfId="0" applyFont="1" applyBorder="1" applyAlignment="1">
      <alignment horizontal="center" vertical="center"/>
    </xf>
    <xf numFmtId="0" fontId="2" fillId="0" borderId="122" xfId="0" applyFont="1" applyBorder="1" applyAlignment="1">
      <alignment horizontal="center" vertical="center"/>
    </xf>
    <xf numFmtId="0" fontId="2" fillId="0" borderId="129" xfId="0" applyFont="1" applyBorder="1" applyAlignment="1">
      <alignment horizontal="center" vertical="center"/>
    </xf>
    <xf numFmtId="0" fontId="2" fillId="0" borderId="130" xfId="0" applyFont="1" applyBorder="1" applyAlignment="1">
      <alignment horizontal="center" vertical="center"/>
    </xf>
    <xf numFmtId="0" fontId="2" fillId="0" borderId="131" xfId="0" applyFont="1" applyBorder="1" applyAlignment="1">
      <alignment horizontal="center" vertical="center"/>
    </xf>
    <xf numFmtId="0" fontId="2" fillId="0" borderId="99" xfId="0" applyFont="1" applyBorder="1" applyAlignment="1">
      <alignment horizontal="left" vertical="center"/>
    </xf>
    <xf numFmtId="0" fontId="2" fillId="0" borderId="0" xfId="0" applyFont="1" applyAlignment="1">
      <alignment horizontal="left" vertical="center"/>
    </xf>
    <xf numFmtId="0" fontId="2" fillId="0" borderId="132" xfId="61" applyFont="1" applyBorder="1" applyAlignment="1">
      <alignment horizontal="center" vertical="center"/>
      <protection/>
    </xf>
    <xf numFmtId="0" fontId="2" fillId="0" borderId="133" xfId="61" applyFont="1" applyBorder="1" applyAlignment="1">
      <alignment horizontal="center" vertical="center"/>
      <protection/>
    </xf>
    <xf numFmtId="0" fontId="2" fillId="0" borderId="134" xfId="61" applyFont="1" applyBorder="1" applyAlignment="1">
      <alignment horizontal="center" vertical="center"/>
      <protection/>
    </xf>
    <xf numFmtId="0" fontId="2" fillId="0" borderId="135" xfId="61" applyFont="1" applyBorder="1" applyAlignment="1">
      <alignment horizontal="center" vertical="center"/>
      <protection/>
    </xf>
    <xf numFmtId="0" fontId="2" fillId="0" borderId="40" xfId="61" applyFont="1" applyBorder="1" applyAlignment="1">
      <alignment horizontal="distributed" vertical="center" wrapText="1"/>
      <protection/>
    </xf>
    <xf numFmtId="0" fontId="2" fillId="0" borderId="136" xfId="61" applyFont="1" applyBorder="1" applyAlignment="1">
      <alignment horizontal="distributed" vertical="center" wrapText="1"/>
      <protection/>
    </xf>
    <xf numFmtId="0" fontId="2" fillId="0" borderId="137" xfId="61" applyFont="1" applyBorder="1" applyAlignment="1">
      <alignment horizontal="distributed" vertical="center" wrapText="1"/>
      <protection/>
    </xf>
    <xf numFmtId="0" fontId="2" fillId="0" borderId="138" xfId="61" applyFont="1" applyBorder="1" applyAlignment="1">
      <alignment horizontal="center" vertical="center"/>
      <protection/>
    </xf>
    <xf numFmtId="0" fontId="2" fillId="0" borderId="139" xfId="61" applyFont="1" applyBorder="1" applyAlignment="1">
      <alignment horizontal="center" vertical="center"/>
      <protection/>
    </xf>
    <xf numFmtId="0" fontId="2" fillId="0" borderId="99" xfId="61" applyFont="1" applyBorder="1" applyAlignment="1">
      <alignment horizontal="left" vertical="center"/>
      <protection/>
    </xf>
    <xf numFmtId="0" fontId="2" fillId="0" borderId="0" xfId="61" applyFont="1" applyAlignment="1">
      <alignment horizontal="left" vertical="center"/>
      <protection/>
    </xf>
    <xf numFmtId="0" fontId="2" fillId="0" borderId="113" xfId="61" applyFont="1" applyBorder="1" applyAlignment="1">
      <alignment horizontal="distributed" vertical="center"/>
      <protection/>
    </xf>
    <xf numFmtId="0" fontId="2" fillId="0" borderId="111" xfId="61" applyFont="1" applyBorder="1" applyAlignment="1">
      <alignment horizontal="distributed" vertical="center"/>
      <protection/>
    </xf>
    <xf numFmtId="0" fontId="2" fillId="0" borderId="140" xfId="61" applyFont="1" applyBorder="1" applyAlignment="1">
      <alignment horizontal="distributed" vertical="center"/>
      <protection/>
    </xf>
    <xf numFmtId="0" fontId="2" fillId="0" borderId="141" xfId="61" applyFont="1" applyBorder="1" applyAlignment="1">
      <alignment horizontal="center" vertical="center"/>
      <protection/>
    </xf>
    <xf numFmtId="0" fontId="2" fillId="0" borderId="132" xfId="61" applyFont="1" applyBorder="1" applyAlignment="1">
      <alignment horizontal="center" vertical="center" wrapText="1"/>
      <protection/>
    </xf>
    <xf numFmtId="0" fontId="2" fillId="0" borderId="142" xfId="61" applyFont="1" applyBorder="1" applyAlignment="1">
      <alignment horizontal="left" vertical="center"/>
      <protection/>
    </xf>
    <xf numFmtId="0" fontId="2" fillId="0" borderId="143" xfId="61" applyFont="1" applyBorder="1" applyAlignment="1">
      <alignment horizontal="center" vertical="center"/>
      <protection/>
    </xf>
    <xf numFmtId="0" fontId="2" fillId="0" borderId="144" xfId="61" applyFont="1" applyBorder="1" applyAlignment="1">
      <alignment horizontal="center" vertical="center"/>
      <protection/>
    </xf>
    <xf numFmtId="0" fontId="2" fillId="0" borderId="145" xfId="61" applyFont="1" applyBorder="1" applyAlignment="1">
      <alignment horizontal="distributed" vertical="center" wrapText="1"/>
      <protection/>
    </xf>
    <xf numFmtId="0" fontId="2" fillId="0" borderId="146" xfId="61" applyFont="1" applyBorder="1" applyAlignment="1">
      <alignment horizontal="distributed" vertical="center" wrapText="1"/>
      <protection/>
    </xf>
    <xf numFmtId="0" fontId="2" fillId="0" borderId="147" xfId="61" applyFont="1" applyBorder="1" applyAlignment="1">
      <alignment horizontal="distributed" vertical="center" wrapText="1"/>
      <protection/>
    </xf>
    <xf numFmtId="0" fontId="2" fillId="0" borderId="148" xfId="61" applyFont="1" applyBorder="1" applyAlignment="1">
      <alignment horizontal="distributed" vertical="center"/>
      <protection/>
    </xf>
    <xf numFmtId="0" fontId="2" fillId="0" borderId="149" xfId="61" applyFont="1" applyBorder="1" applyAlignment="1">
      <alignment horizontal="distributed" vertical="center" wrapText="1"/>
      <protection/>
    </xf>
    <xf numFmtId="0" fontId="2" fillId="0" borderId="150" xfId="61" applyFont="1" applyBorder="1" applyAlignment="1">
      <alignment horizontal="distributed" vertical="center"/>
      <protection/>
    </xf>
    <xf numFmtId="0" fontId="2" fillId="0" borderId="151" xfId="61" applyFont="1" applyBorder="1" applyAlignment="1">
      <alignment horizontal="distributed" vertical="center" wrapText="1"/>
      <protection/>
    </xf>
    <xf numFmtId="0" fontId="2" fillId="0" borderId="152" xfId="61" applyFont="1" applyBorder="1" applyAlignment="1">
      <alignment horizontal="distributed" vertical="center" wrapText="1"/>
      <protection/>
    </xf>
    <xf numFmtId="0" fontId="2" fillId="0" borderId="153" xfId="61" applyFont="1" applyBorder="1" applyAlignment="1">
      <alignment horizontal="center" vertical="center"/>
      <protection/>
    </xf>
    <xf numFmtId="0" fontId="2" fillId="0" borderId="154" xfId="61" applyFont="1" applyBorder="1" applyAlignment="1">
      <alignment horizontal="center" vertical="center"/>
      <protection/>
    </xf>
    <xf numFmtId="0" fontId="2" fillId="0" borderId="141" xfId="61" applyFont="1" applyBorder="1" applyAlignment="1">
      <alignment horizontal="center" vertical="center" wrapText="1"/>
      <protection/>
    </xf>
    <xf numFmtId="0" fontId="2" fillId="34" borderId="60" xfId="61" applyNumberFormat="1" applyFont="1" applyFill="1" applyBorder="1" applyAlignment="1">
      <alignment horizontal="right" vertical="center"/>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K18"/>
  <sheetViews>
    <sheetView showGridLines="0" tabSelected="1" zoomScalePageLayoutView="0" workbookViewId="0" topLeftCell="A1">
      <selection activeCell="A1" sqref="A1:K1"/>
    </sheetView>
  </sheetViews>
  <sheetFormatPr defaultColWidth="5.875" defaultRowHeight="13.5"/>
  <cols>
    <col min="1" max="1" width="10.625" style="1" customWidth="1"/>
    <col min="2" max="2" width="16.00390625" style="1" customWidth="1"/>
    <col min="3" max="3" width="3.00390625" style="1" customWidth="1"/>
    <col min="4" max="4" width="6.75390625" style="1" customWidth="1"/>
    <col min="5" max="5" width="9.75390625" style="1" customWidth="1"/>
    <col min="6" max="6" width="3.00390625" style="1" customWidth="1"/>
    <col min="7" max="7" width="6.75390625" style="1" customWidth="1"/>
    <col min="8" max="8" width="11.375" style="1" bestFit="1" customWidth="1"/>
    <col min="9" max="9" width="3.00390625" style="1" customWidth="1"/>
    <col min="10" max="10" width="6.75390625" style="1" customWidth="1"/>
    <col min="11" max="11" width="11.375" style="1" bestFit="1" customWidth="1"/>
    <col min="12" max="16384" width="5.875" style="1" customWidth="1"/>
  </cols>
  <sheetData>
    <row r="1" spans="1:11" ht="15">
      <c r="A1" s="172" t="s">
        <v>0</v>
      </c>
      <c r="B1" s="172"/>
      <c r="C1" s="172"/>
      <c r="D1" s="172"/>
      <c r="E1" s="172"/>
      <c r="F1" s="172"/>
      <c r="G1" s="172"/>
      <c r="H1" s="172"/>
      <c r="I1" s="172"/>
      <c r="J1" s="172"/>
      <c r="K1" s="172"/>
    </row>
    <row r="2" spans="1:11" ht="15">
      <c r="A2" s="56"/>
      <c r="B2" s="56"/>
      <c r="C2" s="56"/>
      <c r="D2" s="56"/>
      <c r="E2" s="56"/>
      <c r="F2" s="56"/>
      <c r="G2" s="56"/>
      <c r="H2" s="56"/>
      <c r="I2" s="56"/>
      <c r="J2" s="56"/>
      <c r="K2" s="56"/>
    </row>
    <row r="3" spans="1:11" ht="12" thickBot="1">
      <c r="A3" s="173" t="s">
        <v>134</v>
      </c>
      <c r="B3" s="173"/>
      <c r="C3" s="173"/>
      <c r="D3" s="173"/>
      <c r="E3" s="173"/>
      <c r="F3" s="173"/>
      <c r="G3" s="173"/>
      <c r="H3" s="173"/>
      <c r="I3" s="173"/>
      <c r="J3" s="173"/>
      <c r="K3" s="173"/>
    </row>
    <row r="4" spans="1:11" ht="24" customHeight="1">
      <c r="A4" s="174" t="s">
        <v>1</v>
      </c>
      <c r="B4" s="175"/>
      <c r="C4" s="178" t="s">
        <v>135</v>
      </c>
      <c r="D4" s="179"/>
      <c r="E4" s="180"/>
      <c r="F4" s="178" t="s">
        <v>136</v>
      </c>
      <c r="G4" s="179"/>
      <c r="H4" s="180"/>
      <c r="I4" s="178" t="s">
        <v>137</v>
      </c>
      <c r="J4" s="179"/>
      <c r="K4" s="181"/>
    </row>
    <row r="5" spans="1:11" ht="24" customHeight="1">
      <c r="A5" s="176"/>
      <c r="B5" s="177"/>
      <c r="C5" s="182" t="s">
        <v>2</v>
      </c>
      <c r="D5" s="183"/>
      <c r="E5" s="6" t="s">
        <v>3</v>
      </c>
      <c r="F5" s="182" t="s">
        <v>2</v>
      </c>
      <c r="G5" s="183"/>
      <c r="H5" s="6" t="s">
        <v>3</v>
      </c>
      <c r="I5" s="182" t="s">
        <v>2</v>
      </c>
      <c r="J5" s="183"/>
      <c r="K5" s="14" t="s">
        <v>3</v>
      </c>
    </row>
    <row r="6" spans="1:11" ht="12" customHeight="1">
      <c r="A6" s="43"/>
      <c r="B6" s="46"/>
      <c r="C6" s="44"/>
      <c r="D6" s="36" t="s">
        <v>23</v>
      </c>
      <c r="E6" s="35" t="s">
        <v>22</v>
      </c>
      <c r="F6" s="44"/>
      <c r="G6" s="36" t="s">
        <v>23</v>
      </c>
      <c r="H6" s="35" t="s">
        <v>22</v>
      </c>
      <c r="I6" s="44"/>
      <c r="J6" s="36" t="s">
        <v>23</v>
      </c>
      <c r="K6" s="45" t="s">
        <v>22</v>
      </c>
    </row>
    <row r="7" spans="1:11" ht="30" customHeight="1">
      <c r="A7" s="184" t="s">
        <v>138</v>
      </c>
      <c r="B7" s="40" t="s">
        <v>139</v>
      </c>
      <c r="C7" s="15"/>
      <c r="D7" s="95">
        <v>13774</v>
      </c>
      <c r="E7" s="41">
        <v>7473357</v>
      </c>
      <c r="F7" s="18"/>
      <c r="G7" s="95">
        <v>37144</v>
      </c>
      <c r="H7" s="41">
        <v>252554527</v>
      </c>
      <c r="I7" s="18"/>
      <c r="J7" s="95">
        <v>50918</v>
      </c>
      <c r="K7" s="42">
        <v>260027884</v>
      </c>
    </row>
    <row r="8" spans="1:11" ht="30" customHeight="1">
      <c r="A8" s="185"/>
      <c r="B8" s="23" t="s">
        <v>140</v>
      </c>
      <c r="C8" s="15"/>
      <c r="D8" s="96">
        <v>21247</v>
      </c>
      <c r="E8" s="97">
        <v>8133178</v>
      </c>
      <c r="F8" s="18"/>
      <c r="G8" s="96">
        <v>16715</v>
      </c>
      <c r="H8" s="97">
        <v>9900367</v>
      </c>
      <c r="I8" s="18"/>
      <c r="J8" s="96">
        <v>37962</v>
      </c>
      <c r="K8" s="98">
        <v>18033545</v>
      </c>
    </row>
    <row r="9" spans="1:11" s="3" customFormat="1" ht="30" customHeight="1">
      <c r="A9" s="185"/>
      <c r="B9" s="24" t="s">
        <v>141</v>
      </c>
      <c r="C9" s="16"/>
      <c r="D9" s="99">
        <v>35021</v>
      </c>
      <c r="E9" s="100">
        <v>15606535</v>
      </c>
      <c r="F9" s="16"/>
      <c r="G9" s="99">
        <v>53859</v>
      </c>
      <c r="H9" s="100">
        <v>262454894</v>
      </c>
      <c r="I9" s="16"/>
      <c r="J9" s="99">
        <v>88880</v>
      </c>
      <c r="K9" s="101">
        <v>278061429</v>
      </c>
    </row>
    <row r="10" spans="1:11" ht="30" customHeight="1">
      <c r="A10" s="186"/>
      <c r="B10" s="25" t="s">
        <v>142</v>
      </c>
      <c r="C10" s="15"/>
      <c r="D10" s="102">
        <v>1052</v>
      </c>
      <c r="E10" s="103">
        <v>948361</v>
      </c>
      <c r="F10" s="15"/>
      <c r="G10" s="102">
        <v>2435</v>
      </c>
      <c r="H10" s="103">
        <v>54282975</v>
      </c>
      <c r="I10" s="15"/>
      <c r="J10" s="102">
        <v>3487</v>
      </c>
      <c r="K10" s="104">
        <v>55231337</v>
      </c>
    </row>
    <row r="11" spans="1:11" ht="30" customHeight="1">
      <c r="A11" s="187" t="s">
        <v>143</v>
      </c>
      <c r="B11" s="57" t="s">
        <v>144</v>
      </c>
      <c r="C11" s="9"/>
      <c r="D11" s="105">
        <v>2830</v>
      </c>
      <c r="E11" s="20">
        <v>578380</v>
      </c>
      <c r="F11" s="37"/>
      <c r="G11" s="106">
        <v>3770</v>
      </c>
      <c r="H11" s="20">
        <v>805061</v>
      </c>
      <c r="I11" s="37"/>
      <c r="J11" s="106">
        <v>6600</v>
      </c>
      <c r="K11" s="21">
        <v>1383441</v>
      </c>
    </row>
    <row r="12" spans="1:11" ht="30" customHeight="1">
      <c r="A12" s="188"/>
      <c r="B12" s="58" t="s">
        <v>145</v>
      </c>
      <c r="C12" s="38"/>
      <c r="D12" s="96">
        <v>181</v>
      </c>
      <c r="E12" s="97">
        <v>32151</v>
      </c>
      <c r="F12" s="39"/>
      <c r="G12" s="107">
        <v>320</v>
      </c>
      <c r="H12" s="97">
        <v>217946</v>
      </c>
      <c r="I12" s="39"/>
      <c r="J12" s="107">
        <v>501</v>
      </c>
      <c r="K12" s="98">
        <v>250097</v>
      </c>
    </row>
    <row r="13" spans="1:11" s="3" customFormat="1" ht="30" customHeight="1">
      <c r="A13" s="189" t="s">
        <v>6</v>
      </c>
      <c r="B13" s="190"/>
      <c r="C13" s="26" t="s">
        <v>14</v>
      </c>
      <c r="D13" s="108">
        <v>37197</v>
      </c>
      <c r="E13" s="109">
        <v>15204403</v>
      </c>
      <c r="F13" s="26" t="s">
        <v>14</v>
      </c>
      <c r="G13" s="108">
        <v>56644</v>
      </c>
      <c r="H13" s="109">
        <v>208759034</v>
      </c>
      <c r="I13" s="26" t="s">
        <v>14</v>
      </c>
      <c r="J13" s="108">
        <v>93841</v>
      </c>
      <c r="K13" s="110">
        <v>223963437</v>
      </c>
    </row>
    <row r="14" spans="1:11" ht="30" customHeight="1" thickBot="1">
      <c r="A14" s="191" t="s">
        <v>7</v>
      </c>
      <c r="B14" s="192"/>
      <c r="C14" s="17"/>
      <c r="D14" s="111">
        <v>2582</v>
      </c>
      <c r="E14" s="112">
        <v>105735</v>
      </c>
      <c r="F14" s="19"/>
      <c r="G14" s="111">
        <v>2728</v>
      </c>
      <c r="H14" s="112">
        <v>145758</v>
      </c>
      <c r="I14" s="19"/>
      <c r="J14" s="111">
        <v>5310</v>
      </c>
      <c r="K14" s="113">
        <v>251493</v>
      </c>
    </row>
    <row r="15" spans="1:11" s="4" customFormat="1" ht="37.5" customHeight="1">
      <c r="A15" s="152" t="s">
        <v>131</v>
      </c>
      <c r="B15" s="193" t="s">
        <v>168</v>
      </c>
      <c r="C15" s="193"/>
      <c r="D15" s="193"/>
      <c r="E15" s="193"/>
      <c r="F15" s="193"/>
      <c r="G15" s="193"/>
      <c r="H15" s="193"/>
      <c r="I15" s="193"/>
      <c r="J15" s="193"/>
      <c r="K15" s="193"/>
    </row>
    <row r="16" spans="2:11" ht="45" customHeight="1">
      <c r="B16" s="194" t="s">
        <v>169</v>
      </c>
      <c r="C16" s="194"/>
      <c r="D16" s="194"/>
      <c r="E16" s="194"/>
      <c r="F16" s="194"/>
      <c r="G16" s="194"/>
      <c r="H16" s="194"/>
      <c r="I16" s="194"/>
      <c r="J16" s="194"/>
      <c r="K16" s="194"/>
    </row>
    <row r="17" spans="1:2" ht="14.25" customHeight="1">
      <c r="A17" s="153" t="s">
        <v>132</v>
      </c>
      <c r="B17" s="1" t="s">
        <v>166</v>
      </c>
    </row>
    <row r="18" spans="1:2" ht="11.25">
      <c r="A18" s="154" t="s">
        <v>133</v>
      </c>
      <c r="B18" s="1" t="s">
        <v>167</v>
      </c>
    </row>
  </sheetData>
  <sheetProtection/>
  <mergeCells count="15">
    <mergeCell ref="A7:A10"/>
    <mergeCell ref="A11:A12"/>
    <mergeCell ref="A13:B13"/>
    <mergeCell ref="A14:B14"/>
    <mergeCell ref="B15:K15"/>
    <mergeCell ref="B16:K16"/>
    <mergeCell ref="A1:K1"/>
    <mergeCell ref="A3:K3"/>
    <mergeCell ref="A4:B5"/>
    <mergeCell ref="C4:E4"/>
    <mergeCell ref="F4:H4"/>
    <mergeCell ref="I4:K4"/>
    <mergeCell ref="C5:D5"/>
    <mergeCell ref="F5:G5"/>
    <mergeCell ref="I5:J5"/>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scale="98" r:id="rId1"/>
  <headerFooter alignWithMargins="0">
    <oddFooter>&amp;R高松国税局
消費税
(H27)</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H22"/>
  <sheetViews>
    <sheetView showGridLines="0" tabSelected="1" zoomScalePageLayoutView="0" workbookViewId="0" topLeftCell="A1">
      <selection activeCell="A1" sqref="A1:K1"/>
    </sheetView>
  </sheetViews>
  <sheetFormatPr defaultColWidth="9.00390625" defaultRowHeight="13.5"/>
  <cols>
    <col min="1" max="1" width="10.625" style="60" customWidth="1"/>
    <col min="2" max="2" width="15.625" style="60" customWidth="1"/>
    <col min="3" max="3" width="8.625" style="60" customWidth="1"/>
    <col min="4" max="4" width="10.625" style="60" customWidth="1"/>
    <col min="5" max="5" width="8.625" style="60" customWidth="1"/>
    <col min="6" max="6" width="12.875" style="60" bestFit="1" customWidth="1"/>
    <col min="7" max="7" width="8.625" style="60" customWidth="1"/>
    <col min="8" max="8" width="12.875" style="60" bestFit="1" customWidth="1"/>
    <col min="9" max="16384" width="9.00390625" style="60" customWidth="1"/>
  </cols>
  <sheetData>
    <row r="1" s="1" customFormat="1" ht="12" thickBot="1">
      <c r="A1" s="1" t="s">
        <v>24</v>
      </c>
    </row>
    <row r="2" spans="1:8" s="1" customFormat="1" ht="15" customHeight="1">
      <c r="A2" s="174" t="s">
        <v>1</v>
      </c>
      <c r="B2" s="175"/>
      <c r="C2" s="195" t="s">
        <v>15</v>
      </c>
      <c r="D2" s="195"/>
      <c r="E2" s="195" t="s">
        <v>17</v>
      </c>
      <c r="F2" s="195"/>
      <c r="G2" s="196" t="s">
        <v>18</v>
      </c>
      <c r="H2" s="197"/>
    </row>
    <row r="3" spans="1:8" s="1" customFormat="1" ht="15" customHeight="1">
      <c r="A3" s="176"/>
      <c r="B3" s="177"/>
      <c r="C3" s="9" t="s">
        <v>19</v>
      </c>
      <c r="D3" s="6" t="s">
        <v>20</v>
      </c>
      <c r="E3" s="9" t="s">
        <v>19</v>
      </c>
      <c r="F3" s="7" t="s">
        <v>20</v>
      </c>
      <c r="G3" s="9" t="s">
        <v>19</v>
      </c>
      <c r="H3" s="8" t="s">
        <v>20</v>
      </c>
    </row>
    <row r="4" spans="1:8" s="10" customFormat="1" ht="15" customHeight="1">
      <c r="A4" s="48"/>
      <c r="B4" s="6"/>
      <c r="C4" s="49" t="s">
        <v>4</v>
      </c>
      <c r="D4" s="50" t="s">
        <v>5</v>
      </c>
      <c r="E4" s="49" t="s">
        <v>4</v>
      </c>
      <c r="F4" s="50" t="s">
        <v>5</v>
      </c>
      <c r="G4" s="49" t="s">
        <v>4</v>
      </c>
      <c r="H4" s="51" t="s">
        <v>5</v>
      </c>
    </row>
    <row r="5" spans="1:8" s="59" customFormat="1" ht="30" customHeight="1">
      <c r="A5" s="200" t="s">
        <v>128</v>
      </c>
      <c r="B5" s="40" t="s">
        <v>12</v>
      </c>
      <c r="C5" s="47">
        <v>37389</v>
      </c>
      <c r="D5" s="41">
        <v>9999137</v>
      </c>
      <c r="E5" s="47">
        <v>55673</v>
      </c>
      <c r="F5" s="41">
        <v>167564658</v>
      </c>
      <c r="G5" s="47">
        <v>93062</v>
      </c>
      <c r="H5" s="42">
        <v>177563795</v>
      </c>
    </row>
    <row r="6" spans="1:8" s="59" customFormat="1" ht="30" customHeight="1">
      <c r="A6" s="201"/>
      <c r="B6" s="25" t="s">
        <v>13</v>
      </c>
      <c r="C6" s="28">
        <v>877</v>
      </c>
      <c r="D6" s="29">
        <v>269197</v>
      </c>
      <c r="E6" s="28">
        <v>1856</v>
      </c>
      <c r="F6" s="29">
        <v>30915576</v>
      </c>
      <c r="G6" s="28">
        <v>2733</v>
      </c>
      <c r="H6" s="30">
        <v>31184773</v>
      </c>
    </row>
    <row r="7" spans="1:8" s="59" customFormat="1" ht="30" customHeight="1">
      <c r="A7" s="200" t="s">
        <v>129</v>
      </c>
      <c r="B7" s="22" t="s">
        <v>12</v>
      </c>
      <c r="C7" s="27">
        <v>35865</v>
      </c>
      <c r="D7" s="20">
        <v>9906981</v>
      </c>
      <c r="E7" s="27">
        <v>55031</v>
      </c>
      <c r="F7" s="20">
        <v>163832556</v>
      </c>
      <c r="G7" s="27">
        <v>90896</v>
      </c>
      <c r="H7" s="21">
        <v>173739538</v>
      </c>
    </row>
    <row r="8" spans="1:8" s="59" customFormat="1" ht="30" customHeight="1">
      <c r="A8" s="201"/>
      <c r="B8" s="25" t="s">
        <v>13</v>
      </c>
      <c r="C8" s="28">
        <v>861</v>
      </c>
      <c r="D8" s="29">
        <v>269172</v>
      </c>
      <c r="E8" s="28">
        <v>1835</v>
      </c>
      <c r="F8" s="29">
        <v>25144368</v>
      </c>
      <c r="G8" s="28">
        <v>2696</v>
      </c>
      <c r="H8" s="30">
        <v>25413540</v>
      </c>
    </row>
    <row r="9" spans="1:8" s="59" customFormat="1" ht="30" customHeight="1">
      <c r="A9" s="200" t="s">
        <v>130</v>
      </c>
      <c r="B9" s="22" t="s">
        <v>12</v>
      </c>
      <c r="C9" s="27">
        <v>35298</v>
      </c>
      <c r="D9" s="20">
        <v>9774732</v>
      </c>
      <c r="E9" s="27">
        <v>54454</v>
      </c>
      <c r="F9" s="20">
        <v>164208656</v>
      </c>
      <c r="G9" s="27">
        <v>89752</v>
      </c>
      <c r="H9" s="21">
        <v>173983388</v>
      </c>
    </row>
    <row r="10" spans="1:8" s="59" customFormat="1" ht="30" customHeight="1">
      <c r="A10" s="201"/>
      <c r="B10" s="25" t="s">
        <v>13</v>
      </c>
      <c r="C10" s="28">
        <v>846</v>
      </c>
      <c r="D10" s="29">
        <v>312814</v>
      </c>
      <c r="E10" s="28">
        <v>2052</v>
      </c>
      <c r="F10" s="29">
        <v>24044907</v>
      </c>
      <c r="G10" s="28">
        <v>2898</v>
      </c>
      <c r="H10" s="30">
        <v>24357721</v>
      </c>
    </row>
    <row r="11" spans="1:8" s="59" customFormat="1" ht="30" customHeight="1">
      <c r="A11" s="200" t="s">
        <v>170</v>
      </c>
      <c r="B11" s="22" t="s">
        <v>12</v>
      </c>
      <c r="C11" s="27">
        <v>35079</v>
      </c>
      <c r="D11" s="20">
        <v>13719248</v>
      </c>
      <c r="E11" s="27">
        <v>53756</v>
      </c>
      <c r="F11" s="20">
        <v>225440481</v>
      </c>
      <c r="G11" s="27">
        <v>88835</v>
      </c>
      <c r="H11" s="21">
        <v>239159729</v>
      </c>
    </row>
    <row r="12" spans="1:8" s="59" customFormat="1" ht="30" customHeight="1">
      <c r="A12" s="201"/>
      <c r="B12" s="25" t="s">
        <v>13</v>
      </c>
      <c r="C12" s="28">
        <v>1100</v>
      </c>
      <c r="D12" s="29">
        <v>806791</v>
      </c>
      <c r="E12" s="28">
        <v>2459</v>
      </c>
      <c r="F12" s="29">
        <v>46126557</v>
      </c>
      <c r="G12" s="28">
        <v>3559</v>
      </c>
      <c r="H12" s="30">
        <v>46933348</v>
      </c>
    </row>
    <row r="13" spans="1:8" s="1" customFormat="1" ht="30" customHeight="1">
      <c r="A13" s="198" t="s">
        <v>171</v>
      </c>
      <c r="B13" s="22" t="s">
        <v>12</v>
      </c>
      <c r="C13" s="27">
        <v>35021</v>
      </c>
      <c r="D13" s="20">
        <v>15606535</v>
      </c>
      <c r="E13" s="27">
        <v>53859</v>
      </c>
      <c r="F13" s="20">
        <v>262454894</v>
      </c>
      <c r="G13" s="27">
        <v>88880</v>
      </c>
      <c r="H13" s="21">
        <v>278061429</v>
      </c>
    </row>
    <row r="14" spans="1:8" s="1" customFormat="1" ht="30" customHeight="1" thickBot="1">
      <c r="A14" s="199"/>
      <c r="B14" s="31" t="s">
        <v>13</v>
      </c>
      <c r="C14" s="32">
        <v>1052</v>
      </c>
      <c r="D14" s="33">
        <v>948361</v>
      </c>
      <c r="E14" s="32">
        <v>2435</v>
      </c>
      <c r="F14" s="33">
        <v>54282975</v>
      </c>
      <c r="G14" s="32">
        <v>3487</v>
      </c>
      <c r="H14" s="34">
        <v>55231337</v>
      </c>
    </row>
    <row r="15" spans="5:7" s="1" customFormat="1" ht="11.25">
      <c r="E15" s="2"/>
      <c r="G15" s="2"/>
    </row>
    <row r="16" spans="5:7" s="1" customFormat="1" ht="11.25">
      <c r="E16" s="2"/>
      <c r="G16" s="2"/>
    </row>
    <row r="17" spans="5:7" s="1" customFormat="1" ht="11.25">
      <c r="E17" s="2"/>
      <c r="G17" s="2"/>
    </row>
    <row r="18" spans="5:7" s="1" customFormat="1" ht="11.25">
      <c r="E18" s="2"/>
      <c r="G18" s="2"/>
    </row>
    <row r="19" spans="5:7" s="1" customFormat="1" ht="11.25">
      <c r="E19" s="2"/>
      <c r="G19" s="2"/>
    </row>
    <row r="20" spans="5:7" s="1" customFormat="1" ht="11.25">
      <c r="E20" s="2"/>
      <c r="G20" s="2"/>
    </row>
    <row r="21" spans="5:7" s="1" customFormat="1" ht="11.25">
      <c r="E21" s="2"/>
      <c r="G21" s="2"/>
    </row>
    <row r="22" spans="5:7" s="1" customFormat="1" ht="11.25">
      <c r="E22" s="2"/>
      <c r="G22" s="2"/>
    </row>
  </sheetData>
  <sheetProtection/>
  <mergeCells count="9">
    <mergeCell ref="E2:F2"/>
    <mergeCell ref="G2:H2"/>
    <mergeCell ref="A2:B3"/>
    <mergeCell ref="A13:A14"/>
    <mergeCell ref="A5:A6"/>
    <mergeCell ref="A11:A12"/>
    <mergeCell ref="C2:D2"/>
    <mergeCell ref="A9:A10"/>
    <mergeCell ref="A7:A8"/>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scale="98" r:id="rId1"/>
  <headerFooter alignWithMargins="0">
    <oddFooter>&amp;R高松国税局
消費税
(H27)</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I6"/>
  <sheetViews>
    <sheetView showGridLines="0" tabSelected="1" zoomScalePageLayoutView="0" workbookViewId="0" topLeftCell="A1">
      <selection activeCell="A1" sqref="A1:K1"/>
    </sheetView>
  </sheetViews>
  <sheetFormatPr defaultColWidth="9.00390625" defaultRowHeight="13.5"/>
  <cols>
    <col min="1" max="2" width="18.625" style="60" customWidth="1"/>
    <col min="3" max="3" width="23.625" style="60" customWidth="1"/>
    <col min="4" max="4" width="18.625" style="60" customWidth="1"/>
    <col min="5" max="16384" width="9.00390625" style="60" customWidth="1"/>
  </cols>
  <sheetData>
    <row r="1" s="1" customFormat="1" ht="20.25" customHeight="1" thickBot="1">
      <c r="A1" s="1" t="s">
        <v>21</v>
      </c>
    </row>
    <row r="2" spans="1:4" s="4" customFormat="1" ht="19.5" customHeight="1">
      <c r="A2" s="11" t="s">
        <v>8</v>
      </c>
      <c r="B2" s="12" t="s">
        <v>9</v>
      </c>
      <c r="C2" s="13" t="s">
        <v>10</v>
      </c>
      <c r="D2" s="61" t="s">
        <v>25</v>
      </c>
    </row>
    <row r="3" spans="1:4" s="10" customFormat="1" ht="15" customHeight="1">
      <c r="A3" s="52" t="s">
        <v>4</v>
      </c>
      <c r="B3" s="53" t="s">
        <v>4</v>
      </c>
      <c r="C3" s="54" t="s">
        <v>4</v>
      </c>
      <c r="D3" s="55" t="s">
        <v>4</v>
      </c>
    </row>
    <row r="4" spans="1:9" s="4" customFormat="1" ht="30" customHeight="1" thickBot="1">
      <c r="A4" s="148">
        <v>93337</v>
      </c>
      <c r="B4" s="149">
        <v>2566</v>
      </c>
      <c r="C4" s="150">
        <v>198</v>
      </c>
      <c r="D4" s="151">
        <v>96101</v>
      </c>
      <c r="E4" s="5"/>
      <c r="G4" s="5"/>
      <c r="I4" s="5"/>
    </row>
    <row r="5" spans="1:4" s="4" customFormat="1" ht="15" customHeight="1">
      <c r="A5" s="202" t="s">
        <v>172</v>
      </c>
      <c r="B5" s="202"/>
      <c r="C5" s="202"/>
      <c r="D5" s="202"/>
    </row>
    <row r="6" spans="1:4" s="4" customFormat="1" ht="15" customHeight="1">
      <c r="A6" s="203" t="s">
        <v>11</v>
      </c>
      <c r="B6" s="203"/>
      <c r="C6" s="203"/>
      <c r="D6" s="203"/>
    </row>
  </sheetData>
  <sheetProtection/>
  <mergeCells count="2">
    <mergeCell ref="A5:D5"/>
    <mergeCell ref="A6:D6"/>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r:id="rId1"/>
  <headerFooter alignWithMargins="0">
    <oddFooter>&amp;R高松国税局
消費税
(H27)</oddFooter>
  </headerFooter>
</worksheet>
</file>

<file path=xl/worksheets/sheet4.xml><?xml version="1.0" encoding="utf-8"?>
<worksheet xmlns="http://schemas.openxmlformats.org/spreadsheetml/2006/main" xmlns:r="http://schemas.openxmlformats.org/officeDocument/2006/relationships">
  <dimension ref="A1:O56"/>
  <sheetViews>
    <sheetView tabSelected="1" view="pageBreakPreview" zoomScaleNormal="85" zoomScaleSheetLayoutView="100" zoomScalePageLayoutView="0" workbookViewId="0" topLeftCell="A1">
      <selection activeCell="A1" sqref="A1:K1"/>
    </sheetView>
  </sheetViews>
  <sheetFormatPr defaultColWidth="9.00390625" defaultRowHeight="13.5"/>
  <cols>
    <col min="1" max="1" width="11.375" style="114" customWidth="1"/>
    <col min="2" max="2" width="10.625" style="114" customWidth="1"/>
    <col min="3" max="3" width="12.625" style="114" customWidth="1"/>
    <col min="4" max="4" width="10.625" style="114" customWidth="1"/>
    <col min="5" max="5" width="12.625" style="114" customWidth="1"/>
    <col min="6" max="6" width="10.625" style="114" customWidth="1"/>
    <col min="7" max="7" width="12.625" style="114" customWidth="1"/>
    <col min="8" max="8" width="10.625" style="114" customWidth="1"/>
    <col min="9" max="9" width="12.625" style="114" customWidth="1"/>
    <col min="10" max="10" width="10.625" style="114" customWidth="1"/>
    <col min="11" max="11" width="12.625" style="114" customWidth="1"/>
    <col min="12" max="12" width="10.625" style="114" customWidth="1"/>
    <col min="13" max="13" width="12.625" style="114" customWidth="1"/>
    <col min="14" max="14" width="11.375" style="114" customWidth="1"/>
    <col min="15" max="16384" width="9.00390625" style="114" customWidth="1"/>
  </cols>
  <sheetData>
    <row r="1" spans="1:14" ht="13.5">
      <c r="A1" s="62" t="s">
        <v>26</v>
      </c>
      <c r="B1" s="62"/>
      <c r="C1" s="62"/>
      <c r="D1" s="62"/>
      <c r="E1" s="62"/>
      <c r="F1" s="62"/>
      <c r="G1" s="62"/>
      <c r="H1" s="63"/>
      <c r="I1" s="63"/>
      <c r="J1" s="63"/>
      <c r="K1" s="63"/>
      <c r="L1" s="63"/>
      <c r="M1" s="63"/>
      <c r="N1" s="63"/>
    </row>
    <row r="2" spans="1:14" ht="14.25" thickBot="1">
      <c r="A2" s="214" t="s">
        <v>27</v>
      </c>
      <c r="B2" s="214"/>
      <c r="C2" s="214"/>
      <c r="D2" s="214"/>
      <c r="E2" s="214"/>
      <c r="F2" s="214"/>
      <c r="G2" s="214"/>
      <c r="H2" s="63"/>
      <c r="I2" s="63"/>
      <c r="J2" s="63"/>
      <c r="K2" s="63"/>
      <c r="L2" s="63"/>
      <c r="M2" s="63"/>
      <c r="N2" s="63"/>
    </row>
    <row r="3" spans="1:14" ht="19.5" customHeight="1">
      <c r="A3" s="215" t="s">
        <v>28</v>
      </c>
      <c r="B3" s="218" t="s">
        <v>29</v>
      </c>
      <c r="C3" s="218"/>
      <c r="D3" s="218"/>
      <c r="E3" s="218"/>
      <c r="F3" s="218"/>
      <c r="G3" s="218"/>
      <c r="H3" s="204" t="s">
        <v>13</v>
      </c>
      <c r="I3" s="205"/>
      <c r="J3" s="219" t="s">
        <v>30</v>
      </c>
      <c r="K3" s="205"/>
      <c r="L3" s="204" t="s">
        <v>31</v>
      </c>
      <c r="M3" s="205"/>
      <c r="N3" s="208" t="s">
        <v>32</v>
      </c>
    </row>
    <row r="4" spans="1:14" ht="17.25" customHeight="1">
      <c r="A4" s="216"/>
      <c r="B4" s="211" t="s">
        <v>16</v>
      </c>
      <c r="C4" s="211"/>
      <c r="D4" s="206" t="s">
        <v>33</v>
      </c>
      <c r="E4" s="212"/>
      <c r="F4" s="206" t="s">
        <v>34</v>
      </c>
      <c r="G4" s="212"/>
      <c r="H4" s="206"/>
      <c r="I4" s="207"/>
      <c r="J4" s="206"/>
      <c r="K4" s="207"/>
      <c r="L4" s="206"/>
      <c r="M4" s="207"/>
      <c r="N4" s="209"/>
    </row>
    <row r="5" spans="1:14" s="146" customFormat="1" ht="28.5" customHeight="1">
      <c r="A5" s="217"/>
      <c r="B5" s="64" t="s">
        <v>35</v>
      </c>
      <c r="C5" s="65" t="s">
        <v>36</v>
      </c>
      <c r="D5" s="64" t="s">
        <v>35</v>
      </c>
      <c r="E5" s="65" t="s">
        <v>36</v>
      </c>
      <c r="F5" s="64" t="s">
        <v>35</v>
      </c>
      <c r="G5" s="66" t="s">
        <v>37</v>
      </c>
      <c r="H5" s="64" t="s">
        <v>35</v>
      </c>
      <c r="I5" s="67" t="s">
        <v>38</v>
      </c>
      <c r="J5" s="64" t="s">
        <v>35</v>
      </c>
      <c r="K5" s="67" t="s">
        <v>39</v>
      </c>
      <c r="L5" s="64" t="s">
        <v>35</v>
      </c>
      <c r="M5" s="68" t="s">
        <v>40</v>
      </c>
      <c r="N5" s="210"/>
    </row>
    <row r="6" spans="1:14" s="74" customFormat="1" ht="10.5">
      <c r="A6" s="69"/>
      <c r="B6" s="70" t="s">
        <v>4</v>
      </c>
      <c r="C6" s="71" t="s">
        <v>5</v>
      </c>
      <c r="D6" s="70" t="s">
        <v>4</v>
      </c>
      <c r="E6" s="71" t="s">
        <v>5</v>
      </c>
      <c r="F6" s="70" t="s">
        <v>4</v>
      </c>
      <c r="G6" s="71" t="s">
        <v>5</v>
      </c>
      <c r="H6" s="70" t="s">
        <v>4</v>
      </c>
      <c r="I6" s="72" t="s">
        <v>5</v>
      </c>
      <c r="J6" s="70" t="s">
        <v>4</v>
      </c>
      <c r="K6" s="72" t="s">
        <v>5</v>
      </c>
      <c r="L6" s="70" t="s">
        <v>4</v>
      </c>
      <c r="M6" s="72" t="s">
        <v>5</v>
      </c>
      <c r="N6" s="73"/>
    </row>
    <row r="7" spans="1:14" s="77" customFormat="1" ht="15.75" customHeight="1">
      <c r="A7" s="75" t="s">
        <v>41</v>
      </c>
      <c r="B7" s="115">
        <f>_xlfn.COMPOUNDVALUE(1)</f>
        <v>1229</v>
      </c>
      <c r="C7" s="116">
        <v>692906</v>
      </c>
      <c r="D7" s="115">
        <f>_xlfn.COMPOUNDVALUE(2)</f>
        <v>1820</v>
      </c>
      <c r="E7" s="116">
        <v>703574</v>
      </c>
      <c r="F7" s="115">
        <f>_xlfn.COMPOUNDVALUE(3)</f>
        <v>3049</v>
      </c>
      <c r="G7" s="116">
        <v>1396480</v>
      </c>
      <c r="H7" s="115">
        <f>_xlfn.COMPOUNDVALUE(4)</f>
        <v>94</v>
      </c>
      <c r="I7" s="117">
        <v>210144</v>
      </c>
      <c r="J7" s="115">
        <v>263</v>
      </c>
      <c r="K7" s="117">
        <v>71115</v>
      </c>
      <c r="L7" s="115">
        <v>3245</v>
      </c>
      <c r="M7" s="117">
        <v>1257451</v>
      </c>
      <c r="N7" s="92" t="s">
        <v>42</v>
      </c>
    </row>
    <row r="8" spans="1:14" s="77" customFormat="1" ht="15.75" customHeight="1">
      <c r="A8" s="78" t="s">
        <v>43</v>
      </c>
      <c r="B8" s="120">
        <f>_xlfn.COMPOUNDVALUE(5)</f>
        <v>487</v>
      </c>
      <c r="C8" s="121">
        <v>249970</v>
      </c>
      <c r="D8" s="120">
        <f>_xlfn.COMPOUNDVALUE(6)</f>
        <v>1170</v>
      </c>
      <c r="E8" s="121">
        <v>437663</v>
      </c>
      <c r="F8" s="120">
        <f>_xlfn.COMPOUNDVALUE(7)</f>
        <v>1657</v>
      </c>
      <c r="G8" s="121">
        <v>687633</v>
      </c>
      <c r="H8" s="120">
        <f>_xlfn.COMPOUNDVALUE(8)</f>
        <v>52</v>
      </c>
      <c r="I8" s="122">
        <v>46695</v>
      </c>
      <c r="J8" s="120">
        <v>110</v>
      </c>
      <c r="K8" s="122">
        <v>43019</v>
      </c>
      <c r="L8" s="120">
        <v>1762</v>
      </c>
      <c r="M8" s="122">
        <v>683957</v>
      </c>
      <c r="N8" s="79" t="s">
        <v>44</v>
      </c>
    </row>
    <row r="9" spans="1:14" s="77" customFormat="1" ht="15.75" customHeight="1">
      <c r="A9" s="78" t="s">
        <v>45</v>
      </c>
      <c r="B9" s="120">
        <f>_xlfn.COMPOUNDVALUE(9)</f>
        <v>435</v>
      </c>
      <c r="C9" s="121">
        <v>199006</v>
      </c>
      <c r="D9" s="120">
        <f>_xlfn.COMPOUNDVALUE(10)</f>
        <v>509</v>
      </c>
      <c r="E9" s="121">
        <v>167903</v>
      </c>
      <c r="F9" s="120">
        <f>_xlfn.COMPOUNDVALUE(11)</f>
        <v>944</v>
      </c>
      <c r="G9" s="121">
        <v>366909</v>
      </c>
      <c r="H9" s="120">
        <f>_xlfn.COMPOUNDVALUE(12)</f>
        <v>46</v>
      </c>
      <c r="I9" s="122">
        <v>40672</v>
      </c>
      <c r="J9" s="120">
        <v>44</v>
      </c>
      <c r="K9" s="122">
        <v>5462</v>
      </c>
      <c r="L9" s="120">
        <v>1003</v>
      </c>
      <c r="M9" s="122">
        <v>331699</v>
      </c>
      <c r="N9" s="79" t="s">
        <v>46</v>
      </c>
    </row>
    <row r="10" spans="1:14" s="77" customFormat="1" ht="15.75" customHeight="1">
      <c r="A10" s="78" t="s">
        <v>47</v>
      </c>
      <c r="B10" s="120">
        <f>_xlfn.COMPOUNDVALUE(13)</f>
        <v>323</v>
      </c>
      <c r="C10" s="121">
        <v>176839</v>
      </c>
      <c r="D10" s="120">
        <f>_xlfn.COMPOUNDVALUE(14)</f>
        <v>443</v>
      </c>
      <c r="E10" s="121">
        <v>147261</v>
      </c>
      <c r="F10" s="120">
        <f>_xlfn.COMPOUNDVALUE(15)</f>
        <v>766</v>
      </c>
      <c r="G10" s="121">
        <v>324101</v>
      </c>
      <c r="H10" s="120">
        <f>_xlfn.COMPOUNDVALUE(16)</f>
        <v>33</v>
      </c>
      <c r="I10" s="122">
        <v>37126</v>
      </c>
      <c r="J10" s="120">
        <v>52</v>
      </c>
      <c r="K10" s="122">
        <v>15246</v>
      </c>
      <c r="L10" s="120">
        <v>828</v>
      </c>
      <c r="M10" s="122">
        <v>302220</v>
      </c>
      <c r="N10" s="79" t="s">
        <v>48</v>
      </c>
    </row>
    <row r="11" spans="1:14" s="77" customFormat="1" ht="15.75" customHeight="1">
      <c r="A11" s="78" t="s">
        <v>49</v>
      </c>
      <c r="B11" s="120">
        <f>_xlfn.COMPOUNDVALUE(17)</f>
        <v>153</v>
      </c>
      <c r="C11" s="121">
        <v>68965</v>
      </c>
      <c r="D11" s="120">
        <f>_xlfn.COMPOUNDVALUE(18)</f>
        <v>166</v>
      </c>
      <c r="E11" s="121">
        <v>59620</v>
      </c>
      <c r="F11" s="120">
        <f>_xlfn.COMPOUNDVALUE(19)</f>
        <v>319</v>
      </c>
      <c r="G11" s="121">
        <v>128585</v>
      </c>
      <c r="H11" s="120">
        <f>_xlfn.COMPOUNDVALUE(20)</f>
        <v>12</v>
      </c>
      <c r="I11" s="122">
        <v>5570</v>
      </c>
      <c r="J11" s="120">
        <v>35</v>
      </c>
      <c r="K11" s="122">
        <v>9238</v>
      </c>
      <c r="L11" s="120">
        <v>352</v>
      </c>
      <c r="M11" s="122">
        <v>132253</v>
      </c>
      <c r="N11" s="79" t="s">
        <v>50</v>
      </c>
    </row>
    <row r="12" spans="1:14" s="77" customFormat="1" ht="15.75" customHeight="1">
      <c r="A12" s="78" t="s">
        <v>51</v>
      </c>
      <c r="B12" s="120">
        <f>_xlfn.COMPOUNDVALUE(21)</f>
        <v>148</v>
      </c>
      <c r="C12" s="121">
        <v>79246</v>
      </c>
      <c r="D12" s="120">
        <f>_xlfn.COMPOUNDVALUE(22)</f>
        <v>182</v>
      </c>
      <c r="E12" s="121">
        <v>60724</v>
      </c>
      <c r="F12" s="120">
        <f>_xlfn.COMPOUNDVALUE(23)</f>
        <v>330</v>
      </c>
      <c r="G12" s="121">
        <v>139970</v>
      </c>
      <c r="H12" s="120">
        <f>_xlfn.COMPOUNDVALUE(24)</f>
        <v>10</v>
      </c>
      <c r="I12" s="122">
        <v>4751</v>
      </c>
      <c r="J12" s="120">
        <v>24</v>
      </c>
      <c r="K12" s="122">
        <v>1894</v>
      </c>
      <c r="L12" s="120">
        <v>345</v>
      </c>
      <c r="M12" s="122">
        <v>137112</v>
      </c>
      <c r="N12" s="79" t="s">
        <v>52</v>
      </c>
    </row>
    <row r="13" spans="1:14" s="77" customFormat="1" ht="15.75" customHeight="1">
      <c r="A13" s="80" t="s">
        <v>53</v>
      </c>
      <c r="B13" s="123">
        <v>2775</v>
      </c>
      <c r="C13" s="124">
        <v>1466932</v>
      </c>
      <c r="D13" s="123">
        <v>4290</v>
      </c>
      <c r="E13" s="124">
        <v>1576745</v>
      </c>
      <c r="F13" s="123">
        <v>7065</v>
      </c>
      <c r="G13" s="124">
        <v>3043677</v>
      </c>
      <c r="H13" s="123">
        <v>247</v>
      </c>
      <c r="I13" s="125">
        <v>344959</v>
      </c>
      <c r="J13" s="123">
        <v>528</v>
      </c>
      <c r="K13" s="125">
        <v>145974</v>
      </c>
      <c r="L13" s="123">
        <v>7535</v>
      </c>
      <c r="M13" s="125">
        <v>2844692</v>
      </c>
      <c r="N13" s="81" t="s">
        <v>54</v>
      </c>
    </row>
    <row r="14" spans="1:14" s="77" customFormat="1" ht="15.75" customHeight="1">
      <c r="A14" s="82"/>
      <c r="B14" s="128"/>
      <c r="C14" s="129"/>
      <c r="D14" s="128"/>
      <c r="E14" s="129"/>
      <c r="F14" s="130"/>
      <c r="G14" s="129"/>
      <c r="H14" s="130"/>
      <c r="I14" s="129"/>
      <c r="J14" s="130"/>
      <c r="K14" s="129"/>
      <c r="L14" s="130"/>
      <c r="M14" s="129"/>
      <c r="N14" s="83"/>
    </row>
    <row r="15" spans="1:14" s="77" customFormat="1" ht="15.75" customHeight="1">
      <c r="A15" s="75" t="s">
        <v>55</v>
      </c>
      <c r="B15" s="115">
        <f>_xlfn.COMPOUNDVALUE(25)</f>
        <v>1320</v>
      </c>
      <c r="C15" s="116">
        <v>682092</v>
      </c>
      <c r="D15" s="115">
        <f>_xlfn.COMPOUNDVALUE(26)</f>
        <v>1785</v>
      </c>
      <c r="E15" s="116">
        <v>742697</v>
      </c>
      <c r="F15" s="115">
        <f>_xlfn.COMPOUNDVALUE(27)</f>
        <v>3105</v>
      </c>
      <c r="G15" s="116">
        <v>1424789</v>
      </c>
      <c r="H15" s="115">
        <f>_xlfn.COMPOUNDVALUE(28)</f>
        <v>135</v>
      </c>
      <c r="I15" s="117">
        <v>123442</v>
      </c>
      <c r="J15" s="115">
        <v>348</v>
      </c>
      <c r="K15" s="117">
        <v>47364</v>
      </c>
      <c r="L15" s="115">
        <v>3336</v>
      </c>
      <c r="M15" s="117">
        <v>1348711</v>
      </c>
      <c r="N15" s="76" t="s">
        <v>56</v>
      </c>
    </row>
    <row r="16" spans="1:14" s="77" customFormat="1" ht="15.75" customHeight="1">
      <c r="A16" s="78" t="s">
        <v>57</v>
      </c>
      <c r="B16" s="120">
        <f>_xlfn.COMPOUNDVALUE(29)</f>
        <v>520</v>
      </c>
      <c r="C16" s="121">
        <v>295861</v>
      </c>
      <c r="D16" s="120">
        <f>_xlfn.COMPOUNDVALUE(30)</f>
        <v>844</v>
      </c>
      <c r="E16" s="121">
        <v>340321</v>
      </c>
      <c r="F16" s="120">
        <f>_xlfn.COMPOUNDVALUE(31)</f>
        <v>1364</v>
      </c>
      <c r="G16" s="121">
        <v>636182</v>
      </c>
      <c r="H16" s="120">
        <f>_xlfn.COMPOUNDVALUE(32)</f>
        <v>49</v>
      </c>
      <c r="I16" s="122">
        <v>39301</v>
      </c>
      <c r="J16" s="120">
        <v>154</v>
      </c>
      <c r="K16" s="122">
        <v>29098</v>
      </c>
      <c r="L16" s="120">
        <v>1463</v>
      </c>
      <c r="M16" s="122">
        <v>625979</v>
      </c>
      <c r="N16" s="79" t="s">
        <v>58</v>
      </c>
    </row>
    <row r="17" spans="1:14" s="77" customFormat="1" ht="15.75" customHeight="1">
      <c r="A17" s="78" t="s">
        <v>59</v>
      </c>
      <c r="B17" s="120">
        <f>_xlfn.COMPOUNDVALUE(33)</f>
        <v>277</v>
      </c>
      <c r="C17" s="121">
        <v>155244</v>
      </c>
      <c r="D17" s="120">
        <f>_xlfn.COMPOUNDVALUE(34)</f>
        <v>359</v>
      </c>
      <c r="E17" s="121">
        <v>148604</v>
      </c>
      <c r="F17" s="120">
        <f>_xlfn.COMPOUNDVALUE(35)</f>
        <v>636</v>
      </c>
      <c r="G17" s="121">
        <v>303848</v>
      </c>
      <c r="H17" s="120">
        <f>_xlfn.COMPOUNDVALUE(36)</f>
        <v>23</v>
      </c>
      <c r="I17" s="122">
        <v>14694</v>
      </c>
      <c r="J17" s="120">
        <v>79</v>
      </c>
      <c r="K17" s="122">
        <v>12286</v>
      </c>
      <c r="L17" s="120">
        <v>682</v>
      </c>
      <c r="M17" s="122">
        <v>301441</v>
      </c>
      <c r="N17" s="79" t="s">
        <v>60</v>
      </c>
    </row>
    <row r="18" spans="1:14" s="77" customFormat="1" ht="15.75" customHeight="1">
      <c r="A18" s="78" t="s">
        <v>61</v>
      </c>
      <c r="B18" s="120">
        <f>_xlfn.COMPOUNDVALUE(37)</f>
        <v>527</v>
      </c>
      <c r="C18" s="121">
        <v>274796</v>
      </c>
      <c r="D18" s="120">
        <f>_xlfn.COMPOUNDVALUE(38)</f>
        <v>785</v>
      </c>
      <c r="E18" s="121">
        <v>274414</v>
      </c>
      <c r="F18" s="120">
        <f>_xlfn.COMPOUNDVALUE(39)</f>
        <v>1312</v>
      </c>
      <c r="G18" s="121">
        <v>549211</v>
      </c>
      <c r="H18" s="120">
        <f>_xlfn.COMPOUNDVALUE(40)</f>
        <v>38</v>
      </c>
      <c r="I18" s="122">
        <v>25601</v>
      </c>
      <c r="J18" s="120">
        <v>106</v>
      </c>
      <c r="K18" s="122">
        <v>12793</v>
      </c>
      <c r="L18" s="120">
        <v>1383</v>
      </c>
      <c r="M18" s="122">
        <v>536402</v>
      </c>
      <c r="N18" s="79" t="s">
        <v>62</v>
      </c>
    </row>
    <row r="19" spans="1:14" s="77" customFormat="1" ht="15.75" customHeight="1">
      <c r="A19" s="78" t="s">
        <v>63</v>
      </c>
      <c r="B19" s="120">
        <f>_xlfn.COMPOUNDVALUE(41)</f>
        <v>325</v>
      </c>
      <c r="C19" s="121">
        <v>159689</v>
      </c>
      <c r="D19" s="120">
        <f>_xlfn.COMPOUNDVALUE(42)</f>
        <v>396</v>
      </c>
      <c r="E19" s="121">
        <v>144958</v>
      </c>
      <c r="F19" s="120">
        <f>_xlfn.COMPOUNDVALUE(43)</f>
        <v>721</v>
      </c>
      <c r="G19" s="121">
        <v>304647</v>
      </c>
      <c r="H19" s="120">
        <f>_xlfn.COMPOUNDVALUE(44)</f>
        <v>21</v>
      </c>
      <c r="I19" s="122">
        <v>9483</v>
      </c>
      <c r="J19" s="120">
        <v>85</v>
      </c>
      <c r="K19" s="122">
        <v>10917</v>
      </c>
      <c r="L19" s="120">
        <v>764</v>
      </c>
      <c r="M19" s="122">
        <v>306082</v>
      </c>
      <c r="N19" s="79" t="s">
        <v>64</v>
      </c>
    </row>
    <row r="20" spans="1:14" s="77" customFormat="1" ht="15.75" customHeight="1">
      <c r="A20" s="78" t="s">
        <v>65</v>
      </c>
      <c r="B20" s="120">
        <f>_xlfn.COMPOUNDVALUE(45)</f>
        <v>97</v>
      </c>
      <c r="C20" s="121">
        <v>43050</v>
      </c>
      <c r="D20" s="120">
        <f>_xlfn.COMPOUNDVALUE(46)</f>
        <v>231</v>
      </c>
      <c r="E20" s="121">
        <v>72874</v>
      </c>
      <c r="F20" s="120">
        <f>_xlfn.COMPOUNDVALUE(47)</f>
        <v>328</v>
      </c>
      <c r="G20" s="121">
        <v>115923</v>
      </c>
      <c r="H20" s="120">
        <f>_xlfn.COMPOUNDVALUE(48)</f>
        <v>7</v>
      </c>
      <c r="I20" s="122">
        <v>1884</v>
      </c>
      <c r="J20" s="120">
        <v>35</v>
      </c>
      <c r="K20" s="122">
        <v>1560</v>
      </c>
      <c r="L20" s="120">
        <v>341</v>
      </c>
      <c r="M20" s="122">
        <v>115599</v>
      </c>
      <c r="N20" s="79" t="s">
        <v>66</v>
      </c>
    </row>
    <row r="21" spans="1:14" s="77" customFormat="1" ht="15.75" customHeight="1">
      <c r="A21" s="80" t="s">
        <v>67</v>
      </c>
      <c r="B21" s="123">
        <v>3066</v>
      </c>
      <c r="C21" s="124">
        <v>1610732</v>
      </c>
      <c r="D21" s="123">
        <v>4400</v>
      </c>
      <c r="E21" s="124">
        <v>1723869</v>
      </c>
      <c r="F21" s="123">
        <v>7466</v>
      </c>
      <c r="G21" s="124">
        <v>3334601</v>
      </c>
      <c r="H21" s="123">
        <v>273</v>
      </c>
      <c r="I21" s="125">
        <v>214406</v>
      </c>
      <c r="J21" s="123">
        <v>807</v>
      </c>
      <c r="K21" s="125">
        <v>114018</v>
      </c>
      <c r="L21" s="123">
        <v>7969</v>
      </c>
      <c r="M21" s="125">
        <v>3234214</v>
      </c>
      <c r="N21" s="81" t="s">
        <v>68</v>
      </c>
    </row>
    <row r="22" spans="1:14" s="77" customFormat="1" ht="15.75" customHeight="1">
      <c r="A22" s="82"/>
      <c r="B22" s="128"/>
      <c r="C22" s="129"/>
      <c r="D22" s="128"/>
      <c r="E22" s="129"/>
      <c r="F22" s="130"/>
      <c r="G22" s="129"/>
      <c r="H22" s="130"/>
      <c r="I22" s="129"/>
      <c r="J22" s="130"/>
      <c r="K22" s="129"/>
      <c r="L22" s="130"/>
      <c r="M22" s="129"/>
      <c r="N22" s="83"/>
    </row>
    <row r="23" spans="1:14" s="77" customFormat="1" ht="15.75" customHeight="1">
      <c r="A23" s="75" t="s">
        <v>69</v>
      </c>
      <c r="B23" s="115">
        <f>_xlfn.COMPOUNDVALUE(49)</f>
        <v>2048</v>
      </c>
      <c r="C23" s="116">
        <v>935562</v>
      </c>
      <c r="D23" s="115">
        <f>_xlfn.COMPOUNDVALUE(50)</f>
        <v>2501</v>
      </c>
      <c r="E23" s="116">
        <v>1001517</v>
      </c>
      <c r="F23" s="115">
        <f>_xlfn.COMPOUNDVALUE(51)</f>
        <v>4549</v>
      </c>
      <c r="G23" s="116">
        <v>1937079</v>
      </c>
      <c r="H23" s="115">
        <f>_xlfn.COMPOUNDVALUE(52)</f>
        <v>130</v>
      </c>
      <c r="I23" s="117">
        <v>77100</v>
      </c>
      <c r="J23" s="115">
        <v>444</v>
      </c>
      <c r="K23" s="117">
        <v>82292</v>
      </c>
      <c r="L23" s="115">
        <v>4903</v>
      </c>
      <c r="M23" s="117">
        <v>1942271</v>
      </c>
      <c r="N23" s="76" t="s">
        <v>70</v>
      </c>
    </row>
    <row r="24" spans="1:14" s="77" customFormat="1" ht="15.75" customHeight="1">
      <c r="A24" s="78" t="s">
        <v>71</v>
      </c>
      <c r="B24" s="120">
        <f>_xlfn.COMPOUNDVALUE(53)</f>
        <v>644</v>
      </c>
      <c r="C24" s="121">
        <v>395287</v>
      </c>
      <c r="D24" s="120">
        <f>_xlfn.COMPOUNDVALUE(54)</f>
        <v>962</v>
      </c>
      <c r="E24" s="121">
        <v>429206</v>
      </c>
      <c r="F24" s="120">
        <f>_xlfn.COMPOUNDVALUE(55)</f>
        <v>1606</v>
      </c>
      <c r="G24" s="121">
        <v>824493</v>
      </c>
      <c r="H24" s="120">
        <f>_xlfn.COMPOUNDVALUE(56)</f>
        <v>34</v>
      </c>
      <c r="I24" s="122">
        <v>39590</v>
      </c>
      <c r="J24" s="120">
        <v>166</v>
      </c>
      <c r="K24" s="122">
        <v>17268</v>
      </c>
      <c r="L24" s="120">
        <v>1707</v>
      </c>
      <c r="M24" s="122">
        <v>802171</v>
      </c>
      <c r="N24" s="79" t="s">
        <v>72</v>
      </c>
    </row>
    <row r="25" spans="1:14" s="77" customFormat="1" ht="15.75" customHeight="1">
      <c r="A25" s="78" t="s">
        <v>73</v>
      </c>
      <c r="B25" s="120">
        <f>_xlfn.COMPOUNDVALUE(57)</f>
        <v>611</v>
      </c>
      <c r="C25" s="121">
        <v>381695</v>
      </c>
      <c r="D25" s="120">
        <f>_xlfn.COMPOUNDVALUE(58)</f>
        <v>877</v>
      </c>
      <c r="E25" s="121">
        <v>327484</v>
      </c>
      <c r="F25" s="120">
        <f>_xlfn.COMPOUNDVALUE(59)</f>
        <v>1488</v>
      </c>
      <c r="G25" s="121">
        <v>709180</v>
      </c>
      <c r="H25" s="120">
        <f>_xlfn.COMPOUNDVALUE(60)</f>
        <v>104</v>
      </c>
      <c r="I25" s="122">
        <v>86629</v>
      </c>
      <c r="J25" s="120">
        <v>93</v>
      </c>
      <c r="K25" s="122">
        <v>17615</v>
      </c>
      <c r="L25" s="120">
        <v>1621</v>
      </c>
      <c r="M25" s="122">
        <v>640165</v>
      </c>
      <c r="N25" s="79" t="s">
        <v>74</v>
      </c>
    </row>
    <row r="26" spans="1:14" s="77" customFormat="1" ht="15.75" customHeight="1">
      <c r="A26" s="78" t="s">
        <v>75</v>
      </c>
      <c r="B26" s="120">
        <f>_xlfn.COMPOUNDVALUE(61)</f>
        <v>320</v>
      </c>
      <c r="C26" s="121">
        <v>188069</v>
      </c>
      <c r="D26" s="120">
        <f>_xlfn.COMPOUNDVALUE(62)</f>
        <v>818</v>
      </c>
      <c r="E26" s="121">
        <v>251113</v>
      </c>
      <c r="F26" s="120">
        <f>_xlfn.COMPOUNDVALUE(63)</f>
        <v>1138</v>
      </c>
      <c r="G26" s="121">
        <v>439182</v>
      </c>
      <c r="H26" s="120">
        <f>_xlfn.COMPOUNDVALUE(64)</f>
        <v>14</v>
      </c>
      <c r="I26" s="122">
        <v>11297</v>
      </c>
      <c r="J26" s="120">
        <v>68</v>
      </c>
      <c r="K26" s="122">
        <v>10054</v>
      </c>
      <c r="L26" s="120">
        <v>1179</v>
      </c>
      <c r="M26" s="122">
        <v>437939</v>
      </c>
      <c r="N26" s="79" t="s">
        <v>76</v>
      </c>
    </row>
    <row r="27" spans="1:14" s="77" customFormat="1" ht="15.75" customHeight="1">
      <c r="A27" s="78" t="s">
        <v>77</v>
      </c>
      <c r="B27" s="120">
        <f>_xlfn.COMPOUNDVALUE(65)</f>
        <v>351</v>
      </c>
      <c r="C27" s="121">
        <v>180627</v>
      </c>
      <c r="D27" s="120">
        <f>_xlfn.COMPOUNDVALUE(66)</f>
        <v>467</v>
      </c>
      <c r="E27" s="121">
        <v>193955</v>
      </c>
      <c r="F27" s="120">
        <f>_xlfn.COMPOUNDVALUE(67)</f>
        <v>818</v>
      </c>
      <c r="G27" s="121">
        <v>374582</v>
      </c>
      <c r="H27" s="120">
        <f>_xlfn.COMPOUNDVALUE(68)</f>
        <v>11</v>
      </c>
      <c r="I27" s="122">
        <v>6523</v>
      </c>
      <c r="J27" s="120">
        <v>90</v>
      </c>
      <c r="K27" s="122">
        <v>15524</v>
      </c>
      <c r="L27" s="120">
        <v>864</v>
      </c>
      <c r="M27" s="122">
        <v>383583</v>
      </c>
      <c r="N27" s="79" t="s">
        <v>78</v>
      </c>
    </row>
    <row r="28" spans="1:14" s="77" customFormat="1" ht="15.75" customHeight="1">
      <c r="A28" s="78" t="s">
        <v>79</v>
      </c>
      <c r="B28" s="120">
        <f>_xlfn.COMPOUNDVALUE(69)</f>
        <v>383</v>
      </c>
      <c r="C28" s="121">
        <v>174065</v>
      </c>
      <c r="D28" s="120">
        <f>_xlfn.COMPOUNDVALUE(70)</f>
        <v>476</v>
      </c>
      <c r="E28" s="121">
        <v>185468</v>
      </c>
      <c r="F28" s="120">
        <f>_xlfn.COMPOUNDVALUE(71)</f>
        <v>859</v>
      </c>
      <c r="G28" s="121">
        <v>359533</v>
      </c>
      <c r="H28" s="120">
        <f>_xlfn.COMPOUNDVALUE(72)</f>
        <v>26</v>
      </c>
      <c r="I28" s="122">
        <v>7736</v>
      </c>
      <c r="J28" s="120">
        <v>75</v>
      </c>
      <c r="K28" s="122">
        <v>13056</v>
      </c>
      <c r="L28" s="120">
        <v>915</v>
      </c>
      <c r="M28" s="122">
        <v>364853</v>
      </c>
      <c r="N28" s="79" t="s">
        <v>80</v>
      </c>
    </row>
    <row r="29" spans="1:14" s="77" customFormat="1" ht="15.75" customHeight="1">
      <c r="A29" s="78" t="s">
        <v>81</v>
      </c>
      <c r="B29" s="120">
        <f>_xlfn.COMPOUNDVALUE(73)</f>
        <v>230</v>
      </c>
      <c r="C29" s="121">
        <v>118157</v>
      </c>
      <c r="D29" s="120">
        <f>_xlfn.COMPOUNDVALUE(74)</f>
        <v>337</v>
      </c>
      <c r="E29" s="121">
        <v>109691</v>
      </c>
      <c r="F29" s="120">
        <f>_xlfn.COMPOUNDVALUE(75)</f>
        <v>567</v>
      </c>
      <c r="G29" s="121">
        <v>227848</v>
      </c>
      <c r="H29" s="120">
        <f>_xlfn.COMPOUNDVALUE(76)</f>
        <v>11</v>
      </c>
      <c r="I29" s="122">
        <v>4886</v>
      </c>
      <c r="J29" s="120">
        <v>28</v>
      </c>
      <c r="K29" s="122">
        <v>3393</v>
      </c>
      <c r="L29" s="120">
        <v>586</v>
      </c>
      <c r="M29" s="122">
        <v>226355</v>
      </c>
      <c r="N29" s="79" t="s">
        <v>82</v>
      </c>
    </row>
    <row r="30" spans="1:14" s="77" customFormat="1" ht="15.75" customHeight="1">
      <c r="A30" s="78" t="s">
        <v>83</v>
      </c>
      <c r="B30" s="120">
        <f>_xlfn.COMPOUNDVALUE(77)</f>
        <v>269</v>
      </c>
      <c r="C30" s="121">
        <v>118711</v>
      </c>
      <c r="D30" s="120">
        <f>_xlfn.COMPOUNDVALUE(78)</f>
        <v>352</v>
      </c>
      <c r="E30" s="121">
        <v>138000</v>
      </c>
      <c r="F30" s="120">
        <f>_xlfn.COMPOUNDVALUE(79)</f>
        <v>621</v>
      </c>
      <c r="G30" s="121">
        <v>256710</v>
      </c>
      <c r="H30" s="120">
        <f>_xlfn.COMPOUNDVALUE(80)</f>
        <v>17</v>
      </c>
      <c r="I30" s="122">
        <v>6056</v>
      </c>
      <c r="J30" s="120">
        <v>39</v>
      </c>
      <c r="K30" s="122">
        <v>2950</v>
      </c>
      <c r="L30" s="120">
        <v>648</v>
      </c>
      <c r="M30" s="122">
        <v>253604</v>
      </c>
      <c r="N30" s="79" t="s">
        <v>84</v>
      </c>
    </row>
    <row r="31" spans="1:14" s="77" customFormat="1" ht="15.75" customHeight="1">
      <c r="A31" s="80" t="s">
        <v>85</v>
      </c>
      <c r="B31" s="123">
        <v>4856</v>
      </c>
      <c r="C31" s="124">
        <v>2492172</v>
      </c>
      <c r="D31" s="123">
        <v>6790</v>
      </c>
      <c r="E31" s="124">
        <v>2636434</v>
      </c>
      <c r="F31" s="123">
        <v>11646</v>
      </c>
      <c r="G31" s="124">
        <v>5128606</v>
      </c>
      <c r="H31" s="123">
        <v>347</v>
      </c>
      <c r="I31" s="125">
        <v>239817</v>
      </c>
      <c r="J31" s="123">
        <v>1003</v>
      </c>
      <c r="K31" s="125">
        <v>162153</v>
      </c>
      <c r="L31" s="123">
        <v>12423</v>
      </c>
      <c r="M31" s="125">
        <v>5050942</v>
      </c>
      <c r="N31" s="81" t="s">
        <v>86</v>
      </c>
    </row>
    <row r="32" spans="1:14" s="77" customFormat="1" ht="15.75" customHeight="1">
      <c r="A32" s="82"/>
      <c r="B32" s="128"/>
      <c r="C32" s="129"/>
      <c r="D32" s="128"/>
      <c r="E32" s="129"/>
      <c r="F32" s="130"/>
      <c r="G32" s="129"/>
      <c r="H32" s="130"/>
      <c r="I32" s="129"/>
      <c r="J32" s="130"/>
      <c r="K32" s="129"/>
      <c r="L32" s="130"/>
      <c r="M32" s="129"/>
      <c r="N32" s="83"/>
    </row>
    <row r="33" spans="1:14" s="77" customFormat="1" ht="15.75" customHeight="1">
      <c r="A33" s="75" t="s">
        <v>87</v>
      </c>
      <c r="B33" s="115">
        <f>_xlfn.COMPOUNDVALUE(81)</f>
        <v>1312</v>
      </c>
      <c r="C33" s="116">
        <v>794809</v>
      </c>
      <c r="D33" s="115">
        <f>_xlfn.COMPOUNDVALUE(82)</f>
        <v>1864</v>
      </c>
      <c r="E33" s="116">
        <v>768032</v>
      </c>
      <c r="F33" s="115">
        <f>_xlfn.COMPOUNDVALUE(83)</f>
        <v>3176</v>
      </c>
      <c r="G33" s="116">
        <v>1562841</v>
      </c>
      <c r="H33" s="115">
        <f>_xlfn.COMPOUNDVALUE(84)</f>
        <v>67</v>
      </c>
      <c r="I33" s="117">
        <v>81613</v>
      </c>
      <c r="J33" s="115">
        <v>306</v>
      </c>
      <c r="K33" s="117">
        <v>58500</v>
      </c>
      <c r="L33" s="115">
        <v>3377</v>
      </c>
      <c r="M33" s="117">
        <v>1539728</v>
      </c>
      <c r="N33" s="76" t="s">
        <v>88</v>
      </c>
    </row>
    <row r="34" spans="1:14" s="77" customFormat="1" ht="15.75" customHeight="1">
      <c r="A34" s="78" t="s">
        <v>89</v>
      </c>
      <c r="B34" s="120">
        <f>_xlfn.COMPOUNDVALUE(85)</f>
        <v>251</v>
      </c>
      <c r="C34" s="121">
        <v>205452</v>
      </c>
      <c r="D34" s="120">
        <f>_xlfn.COMPOUNDVALUE(86)</f>
        <v>802</v>
      </c>
      <c r="E34" s="121">
        <v>262672</v>
      </c>
      <c r="F34" s="120">
        <f>_xlfn.COMPOUNDVALUE(87)</f>
        <v>1053</v>
      </c>
      <c r="G34" s="121">
        <v>468124</v>
      </c>
      <c r="H34" s="120">
        <f>_xlfn.COMPOUNDVALUE(88)</f>
        <v>19</v>
      </c>
      <c r="I34" s="122">
        <v>15090</v>
      </c>
      <c r="J34" s="120">
        <v>22</v>
      </c>
      <c r="K34" s="122">
        <v>2317</v>
      </c>
      <c r="L34" s="120">
        <v>1079</v>
      </c>
      <c r="M34" s="122">
        <v>455351</v>
      </c>
      <c r="N34" s="79" t="s">
        <v>90</v>
      </c>
    </row>
    <row r="35" spans="1:14" s="77" customFormat="1" ht="15.75" customHeight="1">
      <c r="A35" s="78" t="s">
        <v>91</v>
      </c>
      <c r="B35" s="120">
        <f>_xlfn.COMPOUNDVALUE(89)</f>
        <v>376</v>
      </c>
      <c r="C35" s="121">
        <v>191104</v>
      </c>
      <c r="D35" s="120">
        <f>_xlfn.COMPOUNDVALUE(90)</f>
        <v>888</v>
      </c>
      <c r="E35" s="121">
        <v>315642</v>
      </c>
      <c r="F35" s="120">
        <f>_xlfn.COMPOUNDVALUE(91)</f>
        <v>1264</v>
      </c>
      <c r="G35" s="121">
        <v>506747</v>
      </c>
      <c r="H35" s="120">
        <f>_xlfn.COMPOUNDVALUE(92)</f>
        <v>29</v>
      </c>
      <c r="I35" s="122">
        <v>19038</v>
      </c>
      <c r="J35" s="120">
        <v>132</v>
      </c>
      <c r="K35" s="122">
        <v>17634</v>
      </c>
      <c r="L35" s="120">
        <v>1336</v>
      </c>
      <c r="M35" s="122">
        <v>505343</v>
      </c>
      <c r="N35" s="79" t="s">
        <v>92</v>
      </c>
    </row>
    <row r="36" spans="1:14" s="77" customFormat="1" ht="15.75" customHeight="1">
      <c r="A36" s="78" t="s">
        <v>93</v>
      </c>
      <c r="B36" s="120">
        <f>_xlfn.COMPOUNDVALUE(93)</f>
        <v>353</v>
      </c>
      <c r="C36" s="121">
        <v>244088</v>
      </c>
      <c r="D36" s="120">
        <f>_xlfn.COMPOUNDVALUE(94)</f>
        <v>884</v>
      </c>
      <c r="E36" s="121">
        <v>320808</v>
      </c>
      <c r="F36" s="120">
        <f>_xlfn.COMPOUNDVALUE(95)</f>
        <v>1237</v>
      </c>
      <c r="G36" s="121">
        <v>564896</v>
      </c>
      <c r="H36" s="120">
        <f>_xlfn.COMPOUNDVALUE(96)</f>
        <v>25</v>
      </c>
      <c r="I36" s="122">
        <v>10905</v>
      </c>
      <c r="J36" s="120">
        <v>48</v>
      </c>
      <c r="K36" s="122">
        <v>15228</v>
      </c>
      <c r="L36" s="120">
        <v>1273</v>
      </c>
      <c r="M36" s="122">
        <v>569219</v>
      </c>
      <c r="N36" s="79" t="s">
        <v>94</v>
      </c>
    </row>
    <row r="37" spans="1:14" s="77" customFormat="1" ht="15.75" customHeight="1">
      <c r="A37" s="78" t="s">
        <v>95</v>
      </c>
      <c r="B37" s="120">
        <f>_xlfn.COMPOUNDVALUE(97)</f>
        <v>571</v>
      </c>
      <c r="C37" s="121">
        <v>334266</v>
      </c>
      <c r="D37" s="120">
        <f>_xlfn.COMPOUNDVALUE(98)</f>
        <v>676</v>
      </c>
      <c r="E37" s="121">
        <v>280564</v>
      </c>
      <c r="F37" s="120">
        <f>_xlfn.COMPOUNDVALUE(99)</f>
        <v>1247</v>
      </c>
      <c r="G37" s="121">
        <v>614830</v>
      </c>
      <c r="H37" s="120">
        <f>_xlfn.COMPOUNDVALUE(100)</f>
        <v>31</v>
      </c>
      <c r="I37" s="122">
        <v>17468</v>
      </c>
      <c r="J37" s="120">
        <v>105</v>
      </c>
      <c r="K37" s="122">
        <v>18462</v>
      </c>
      <c r="L37" s="120">
        <v>1302</v>
      </c>
      <c r="M37" s="122">
        <v>615824</v>
      </c>
      <c r="N37" s="79" t="s">
        <v>96</v>
      </c>
    </row>
    <row r="38" spans="1:14" s="77" customFormat="1" ht="15.75" customHeight="1">
      <c r="A38" s="78" t="s">
        <v>97</v>
      </c>
      <c r="B38" s="120">
        <f>_xlfn.COMPOUNDVALUE(101)</f>
        <v>214</v>
      </c>
      <c r="C38" s="121">
        <v>133802</v>
      </c>
      <c r="D38" s="120">
        <f>_xlfn.COMPOUNDVALUE(102)</f>
        <v>653</v>
      </c>
      <c r="E38" s="121">
        <v>248411</v>
      </c>
      <c r="F38" s="120">
        <f>_xlfn.COMPOUNDVALUE(103)</f>
        <v>867</v>
      </c>
      <c r="G38" s="121">
        <v>382213</v>
      </c>
      <c r="H38" s="120">
        <f>_xlfn.COMPOUNDVALUE(104)</f>
        <v>14</v>
      </c>
      <c r="I38" s="122">
        <v>5068</v>
      </c>
      <c r="J38" s="120">
        <v>60</v>
      </c>
      <c r="K38" s="122">
        <v>11944</v>
      </c>
      <c r="L38" s="120">
        <v>903</v>
      </c>
      <c r="M38" s="122">
        <v>389088</v>
      </c>
      <c r="N38" s="79" t="s">
        <v>98</v>
      </c>
    </row>
    <row r="39" spans="1:14" s="77" customFormat="1" ht="15.75" customHeight="1">
      <c r="A39" s="80" t="s">
        <v>99</v>
      </c>
      <c r="B39" s="123">
        <v>3077</v>
      </c>
      <c r="C39" s="124">
        <v>1903521</v>
      </c>
      <c r="D39" s="123">
        <v>5767</v>
      </c>
      <c r="E39" s="124">
        <v>2196130</v>
      </c>
      <c r="F39" s="123">
        <v>8844</v>
      </c>
      <c r="G39" s="124">
        <v>4099651</v>
      </c>
      <c r="H39" s="123">
        <v>185</v>
      </c>
      <c r="I39" s="125">
        <v>149180</v>
      </c>
      <c r="J39" s="123">
        <v>673</v>
      </c>
      <c r="K39" s="125">
        <v>124084</v>
      </c>
      <c r="L39" s="123">
        <v>9270</v>
      </c>
      <c r="M39" s="125">
        <v>4074554</v>
      </c>
      <c r="N39" s="81" t="s">
        <v>100</v>
      </c>
    </row>
    <row r="40" spans="1:15" s="77" customFormat="1" ht="15.75" customHeight="1" thickBot="1">
      <c r="A40" s="84"/>
      <c r="B40" s="137"/>
      <c r="C40" s="138"/>
      <c r="D40" s="137"/>
      <c r="E40" s="138"/>
      <c r="F40" s="139"/>
      <c r="G40" s="138"/>
      <c r="H40" s="139"/>
      <c r="I40" s="138"/>
      <c r="J40" s="139"/>
      <c r="K40" s="138"/>
      <c r="L40" s="139"/>
      <c r="M40" s="138"/>
      <c r="N40" s="85"/>
      <c r="O40" s="86"/>
    </row>
    <row r="41" spans="1:14" s="77" customFormat="1" ht="15.75" customHeight="1" thickBot="1" thickTop="1">
      <c r="A41" s="87" t="s">
        <v>101</v>
      </c>
      <c r="B41" s="140">
        <v>13774</v>
      </c>
      <c r="C41" s="141">
        <v>7473357</v>
      </c>
      <c r="D41" s="140">
        <v>21247</v>
      </c>
      <c r="E41" s="141">
        <v>8133178</v>
      </c>
      <c r="F41" s="140">
        <v>35021</v>
      </c>
      <c r="G41" s="141">
        <v>15606535</v>
      </c>
      <c r="H41" s="140">
        <v>1052</v>
      </c>
      <c r="I41" s="142">
        <v>948361</v>
      </c>
      <c r="J41" s="140">
        <v>3011</v>
      </c>
      <c r="K41" s="142">
        <v>546229</v>
      </c>
      <c r="L41" s="140">
        <v>37197</v>
      </c>
      <c r="M41" s="142">
        <v>15204403</v>
      </c>
      <c r="N41" s="88" t="s">
        <v>102</v>
      </c>
    </row>
    <row r="42" spans="1:14" ht="13.5">
      <c r="A42" s="213" t="s">
        <v>173</v>
      </c>
      <c r="B42" s="213"/>
      <c r="C42" s="213"/>
      <c r="D42" s="213"/>
      <c r="E42" s="213"/>
      <c r="F42" s="213"/>
      <c r="G42" s="213"/>
      <c r="H42" s="213"/>
      <c r="I42" s="213"/>
      <c r="J42" s="89"/>
      <c r="K42" s="89"/>
      <c r="L42" s="63"/>
      <c r="M42" s="63"/>
      <c r="N42" s="63"/>
    </row>
    <row r="44" spans="2:10" ht="13.5">
      <c r="B44" s="147"/>
      <c r="C44" s="147"/>
      <c r="D44" s="147"/>
      <c r="E44" s="147"/>
      <c r="F44" s="147"/>
      <c r="G44" s="147"/>
      <c r="H44" s="147"/>
      <c r="J44" s="147"/>
    </row>
    <row r="45" spans="2:10" ht="13.5">
      <c r="B45" s="147"/>
      <c r="C45" s="147"/>
      <c r="D45" s="147"/>
      <c r="E45" s="147"/>
      <c r="F45" s="147"/>
      <c r="G45" s="147"/>
      <c r="H45" s="147"/>
      <c r="J45" s="147"/>
    </row>
    <row r="46" spans="2:10" ht="13.5">
      <c r="B46" s="147"/>
      <c r="C46" s="147"/>
      <c r="D46" s="147"/>
      <c r="E46" s="147"/>
      <c r="F46" s="147"/>
      <c r="G46" s="147"/>
      <c r="H46" s="147"/>
      <c r="J46" s="147"/>
    </row>
    <row r="47" spans="2:10" ht="13.5">
      <c r="B47" s="147"/>
      <c r="C47" s="147"/>
      <c r="D47" s="147"/>
      <c r="E47" s="147"/>
      <c r="F47" s="147"/>
      <c r="G47" s="147"/>
      <c r="H47" s="147"/>
      <c r="J47" s="147"/>
    </row>
    <row r="48" spans="2:10" ht="13.5">
      <c r="B48" s="147"/>
      <c r="C48" s="147"/>
      <c r="D48" s="147"/>
      <c r="E48" s="147"/>
      <c r="F48" s="147"/>
      <c r="G48" s="147"/>
      <c r="H48" s="147"/>
      <c r="J48" s="147"/>
    </row>
    <row r="49" spans="2:10" ht="13.5">
      <c r="B49" s="147"/>
      <c r="C49" s="147"/>
      <c r="D49" s="147"/>
      <c r="E49" s="147"/>
      <c r="F49" s="147"/>
      <c r="G49" s="147"/>
      <c r="H49" s="147"/>
      <c r="J49" s="147"/>
    </row>
    <row r="50" spans="2:10" ht="13.5">
      <c r="B50" s="147"/>
      <c r="C50" s="147"/>
      <c r="D50" s="147"/>
      <c r="E50" s="147"/>
      <c r="F50" s="147"/>
      <c r="G50" s="147"/>
      <c r="H50" s="147"/>
      <c r="J50" s="147"/>
    </row>
    <row r="51" spans="2:10" ht="13.5">
      <c r="B51" s="147"/>
      <c r="C51" s="147"/>
      <c r="D51" s="147"/>
      <c r="E51" s="147"/>
      <c r="F51" s="147"/>
      <c r="G51" s="147"/>
      <c r="H51" s="147"/>
      <c r="J51" s="147"/>
    </row>
    <row r="52" spans="2:10" ht="13.5">
      <c r="B52" s="147"/>
      <c r="C52" s="147"/>
      <c r="D52" s="147"/>
      <c r="E52" s="147"/>
      <c r="F52" s="147"/>
      <c r="G52" s="147"/>
      <c r="H52" s="147"/>
      <c r="J52" s="147"/>
    </row>
    <row r="53" spans="2:10" ht="13.5">
      <c r="B53" s="147"/>
      <c r="C53" s="147"/>
      <c r="D53" s="147"/>
      <c r="E53" s="147"/>
      <c r="F53" s="147"/>
      <c r="G53" s="147"/>
      <c r="H53" s="147"/>
      <c r="J53" s="147"/>
    </row>
    <row r="54" spans="2:10" ht="13.5">
      <c r="B54" s="147"/>
      <c r="C54" s="147"/>
      <c r="D54" s="147"/>
      <c r="E54" s="147"/>
      <c r="F54" s="147"/>
      <c r="G54" s="147"/>
      <c r="H54" s="147"/>
      <c r="J54" s="147"/>
    </row>
    <row r="55" spans="2:10" ht="13.5">
      <c r="B55" s="147"/>
      <c r="C55" s="147"/>
      <c r="D55" s="147"/>
      <c r="E55" s="147"/>
      <c r="F55" s="147"/>
      <c r="G55" s="147"/>
      <c r="H55" s="147"/>
      <c r="J55" s="147"/>
    </row>
    <row r="56" spans="2:10" ht="13.5">
      <c r="B56" s="147"/>
      <c r="C56" s="147"/>
      <c r="D56" s="147"/>
      <c r="E56" s="147"/>
      <c r="F56" s="147"/>
      <c r="G56" s="147"/>
      <c r="H56" s="147"/>
      <c r="J56" s="147"/>
    </row>
  </sheetData>
  <sheetProtection/>
  <mergeCells count="11">
    <mergeCell ref="A2:G2"/>
    <mergeCell ref="A3:A5"/>
    <mergeCell ref="B3:G3"/>
    <mergeCell ref="H3:I4"/>
    <mergeCell ref="J3:K4"/>
    <mergeCell ref="L3:M4"/>
    <mergeCell ref="N3:N5"/>
    <mergeCell ref="B4:C4"/>
    <mergeCell ref="D4:E4"/>
    <mergeCell ref="F4:G4"/>
    <mergeCell ref="A42:I42"/>
  </mergeCells>
  <printOptions horizontalCentered="1"/>
  <pageMargins left="0.7086614173228347" right="0.7086614173228347" top="0.7480314960629921" bottom="0.7480314960629921" header="0.31496062992125984" footer="0.31496062992125984"/>
  <pageSetup fitToHeight="0" horizontalDpi="600" verticalDpi="600" orientation="landscape" paperSize="9" scale="77" r:id="rId1"/>
  <headerFooter>
    <oddFooter>&amp;R高松国税局
消費税
(H27)</oddFooter>
  </headerFooter>
</worksheet>
</file>

<file path=xl/worksheets/sheet5.xml><?xml version="1.0" encoding="utf-8"?>
<worksheet xmlns="http://schemas.openxmlformats.org/spreadsheetml/2006/main" xmlns:r="http://schemas.openxmlformats.org/officeDocument/2006/relationships">
  <dimension ref="A1:N42"/>
  <sheetViews>
    <sheetView tabSelected="1" view="pageBreakPreview" zoomScale="145" zoomScaleSheetLayoutView="145" zoomScalePageLayoutView="0" workbookViewId="0" topLeftCell="D1">
      <selection activeCell="A1" sqref="A1:K1"/>
    </sheetView>
  </sheetViews>
  <sheetFormatPr defaultColWidth="9.00390625" defaultRowHeight="13.5"/>
  <cols>
    <col min="1" max="1" width="11.125" style="114" customWidth="1"/>
    <col min="2" max="2" width="10.625" style="114" customWidth="1"/>
    <col min="3" max="3" width="12.625" style="114" customWidth="1"/>
    <col min="4" max="4" width="10.625" style="114" customWidth="1"/>
    <col min="5" max="5" width="12.625" style="114" customWidth="1"/>
    <col min="6" max="6" width="10.625" style="114" customWidth="1"/>
    <col min="7" max="7" width="12.625" style="114" customWidth="1"/>
    <col min="8" max="8" width="10.625" style="114" customWidth="1"/>
    <col min="9" max="9" width="12.625" style="114" customWidth="1"/>
    <col min="10" max="10" width="10.625" style="114" customWidth="1"/>
    <col min="11" max="11" width="12.625" style="114" customWidth="1"/>
    <col min="12" max="12" width="10.625" style="114" customWidth="1"/>
    <col min="13" max="13" width="12.625" style="114" customWidth="1"/>
    <col min="14" max="14" width="11.375" style="114" customWidth="1"/>
    <col min="15" max="16384" width="9.00390625" style="114" customWidth="1"/>
  </cols>
  <sheetData>
    <row r="1" spans="1:13" ht="13.5">
      <c r="A1" s="62" t="s">
        <v>103</v>
      </c>
      <c r="B1" s="62"/>
      <c r="C1" s="62"/>
      <c r="D1" s="62"/>
      <c r="E1" s="62"/>
      <c r="F1" s="62"/>
      <c r="G1" s="62"/>
      <c r="H1" s="62"/>
      <c r="I1" s="62"/>
      <c r="J1" s="62"/>
      <c r="K1" s="62"/>
      <c r="L1" s="63"/>
      <c r="M1" s="63"/>
    </row>
    <row r="2" spans="1:13" ht="14.25" thickBot="1">
      <c r="A2" s="220" t="s">
        <v>104</v>
      </c>
      <c r="B2" s="220"/>
      <c r="C2" s="220"/>
      <c r="D2" s="220"/>
      <c r="E2" s="220"/>
      <c r="F2" s="220"/>
      <c r="G2" s="220"/>
      <c r="H2" s="220"/>
      <c r="I2" s="220"/>
      <c r="J2" s="89"/>
      <c r="K2" s="89"/>
      <c r="L2" s="63"/>
      <c r="M2" s="63"/>
    </row>
    <row r="3" spans="1:14" ht="19.5" customHeight="1">
      <c r="A3" s="215" t="s">
        <v>28</v>
      </c>
      <c r="B3" s="218" t="s">
        <v>29</v>
      </c>
      <c r="C3" s="218"/>
      <c r="D3" s="218"/>
      <c r="E3" s="218"/>
      <c r="F3" s="218"/>
      <c r="G3" s="218"/>
      <c r="H3" s="204" t="s">
        <v>13</v>
      </c>
      <c r="I3" s="205"/>
      <c r="J3" s="219" t="s">
        <v>30</v>
      </c>
      <c r="K3" s="205"/>
      <c r="L3" s="204" t="s">
        <v>31</v>
      </c>
      <c r="M3" s="205"/>
      <c r="N3" s="208" t="s">
        <v>105</v>
      </c>
    </row>
    <row r="4" spans="1:14" ht="17.25" customHeight="1">
      <c r="A4" s="216"/>
      <c r="B4" s="206" t="s">
        <v>16</v>
      </c>
      <c r="C4" s="212"/>
      <c r="D4" s="206" t="s">
        <v>33</v>
      </c>
      <c r="E4" s="212"/>
      <c r="F4" s="206" t="s">
        <v>34</v>
      </c>
      <c r="G4" s="212"/>
      <c r="H4" s="206"/>
      <c r="I4" s="207"/>
      <c r="J4" s="206"/>
      <c r="K4" s="207"/>
      <c r="L4" s="206"/>
      <c r="M4" s="207"/>
      <c r="N4" s="209"/>
    </row>
    <row r="5" spans="1:14" ht="28.5" customHeight="1">
      <c r="A5" s="217"/>
      <c r="B5" s="64" t="s">
        <v>35</v>
      </c>
      <c r="C5" s="65" t="s">
        <v>36</v>
      </c>
      <c r="D5" s="64" t="s">
        <v>35</v>
      </c>
      <c r="E5" s="65" t="s">
        <v>36</v>
      </c>
      <c r="F5" s="64" t="s">
        <v>35</v>
      </c>
      <c r="G5" s="66" t="s">
        <v>37</v>
      </c>
      <c r="H5" s="64" t="s">
        <v>35</v>
      </c>
      <c r="I5" s="67" t="s">
        <v>38</v>
      </c>
      <c r="J5" s="64" t="s">
        <v>35</v>
      </c>
      <c r="K5" s="67" t="s">
        <v>39</v>
      </c>
      <c r="L5" s="64" t="s">
        <v>35</v>
      </c>
      <c r="M5" s="68" t="s">
        <v>40</v>
      </c>
      <c r="N5" s="210"/>
    </row>
    <row r="6" spans="1:14" s="90" customFormat="1" ht="10.5">
      <c r="A6" s="69"/>
      <c r="B6" s="70" t="s">
        <v>4</v>
      </c>
      <c r="C6" s="71" t="s">
        <v>5</v>
      </c>
      <c r="D6" s="70" t="s">
        <v>4</v>
      </c>
      <c r="E6" s="71" t="s">
        <v>5</v>
      </c>
      <c r="F6" s="70" t="s">
        <v>4</v>
      </c>
      <c r="G6" s="71" t="s">
        <v>5</v>
      </c>
      <c r="H6" s="70" t="s">
        <v>4</v>
      </c>
      <c r="I6" s="72" t="s">
        <v>5</v>
      </c>
      <c r="J6" s="70" t="s">
        <v>4</v>
      </c>
      <c r="K6" s="72" t="s">
        <v>5</v>
      </c>
      <c r="L6" s="70" t="s">
        <v>4</v>
      </c>
      <c r="M6" s="72" t="s">
        <v>5</v>
      </c>
      <c r="N6" s="73"/>
    </row>
    <row r="7" spans="1:14" ht="15.75" customHeight="1">
      <c r="A7" s="75" t="s">
        <v>106</v>
      </c>
      <c r="B7" s="115">
        <f>_xlfn.COMPOUNDVALUE(105)</f>
        <v>3935</v>
      </c>
      <c r="C7" s="116">
        <v>23085432</v>
      </c>
      <c r="D7" s="115">
        <f>_xlfn.COMPOUNDVALUE(106)</f>
        <v>1689</v>
      </c>
      <c r="E7" s="116">
        <v>978330</v>
      </c>
      <c r="F7" s="115">
        <f>_xlfn.COMPOUNDVALUE(107)</f>
        <v>5624</v>
      </c>
      <c r="G7" s="116">
        <v>24063761</v>
      </c>
      <c r="H7" s="115">
        <f>_xlfn.COMPOUNDVALUE(108)</f>
        <v>241</v>
      </c>
      <c r="I7" s="117">
        <v>1219527</v>
      </c>
      <c r="J7" s="115">
        <v>436</v>
      </c>
      <c r="K7" s="117">
        <v>46447</v>
      </c>
      <c r="L7" s="115">
        <v>5903</v>
      </c>
      <c r="M7" s="117">
        <v>22890681</v>
      </c>
      <c r="N7" s="92" t="s">
        <v>42</v>
      </c>
    </row>
    <row r="8" spans="1:14" ht="15.75" customHeight="1">
      <c r="A8" s="78" t="s">
        <v>107</v>
      </c>
      <c r="B8" s="120">
        <f>_xlfn.COMPOUNDVALUE(109)</f>
        <v>1224</v>
      </c>
      <c r="C8" s="121">
        <v>8475508</v>
      </c>
      <c r="D8" s="120">
        <f>_xlfn.COMPOUNDVALUE(110)</f>
        <v>574</v>
      </c>
      <c r="E8" s="121">
        <v>341895</v>
      </c>
      <c r="F8" s="120">
        <f>_xlfn.COMPOUNDVALUE(111)</f>
        <v>1798</v>
      </c>
      <c r="G8" s="121">
        <v>8817404</v>
      </c>
      <c r="H8" s="120">
        <f>_xlfn.COMPOUNDVALUE(112)</f>
        <v>91</v>
      </c>
      <c r="I8" s="122">
        <v>659970</v>
      </c>
      <c r="J8" s="120">
        <v>147</v>
      </c>
      <c r="K8" s="122">
        <v>23315</v>
      </c>
      <c r="L8" s="120">
        <v>1906</v>
      </c>
      <c r="M8" s="122">
        <v>8180748</v>
      </c>
      <c r="N8" s="79" t="s">
        <v>44</v>
      </c>
    </row>
    <row r="9" spans="1:14" ht="15.75" customHeight="1">
      <c r="A9" s="78" t="s">
        <v>108</v>
      </c>
      <c r="B9" s="120">
        <f>_xlfn.COMPOUNDVALUE(113)</f>
        <v>848</v>
      </c>
      <c r="C9" s="121">
        <v>3690819</v>
      </c>
      <c r="D9" s="120">
        <f>_xlfn.COMPOUNDVALUE(114)</f>
        <v>384</v>
      </c>
      <c r="E9" s="121">
        <v>227625</v>
      </c>
      <c r="F9" s="120">
        <f>_xlfn.COMPOUNDVALUE(115)</f>
        <v>1232</v>
      </c>
      <c r="G9" s="121">
        <v>3918444</v>
      </c>
      <c r="H9" s="120">
        <f>_xlfn.COMPOUNDVALUE(116)</f>
        <v>77</v>
      </c>
      <c r="I9" s="122">
        <v>7617503</v>
      </c>
      <c r="J9" s="120">
        <v>87</v>
      </c>
      <c r="K9" s="122">
        <v>40832</v>
      </c>
      <c r="L9" s="120">
        <v>1312</v>
      </c>
      <c r="M9" s="122">
        <v>-3658228</v>
      </c>
      <c r="N9" s="79" t="s">
        <v>46</v>
      </c>
    </row>
    <row r="10" spans="1:14" ht="15.75" customHeight="1">
      <c r="A10" s="78" t="s">
        <v>109</v>
      </c>
      <c r="B10" s="120">
        <f>_xlfn.COMPOUNDVALUE(117)</f>
        <v>619</v>
      </c>
      <c r="C10" s="121">
        <v>2145278</v>
      </c>
      <c r="D10" s="120">
        <f>_xlfn.COMPOUNDVALUE(118)</f>
        <v>314</v>
      </c>
      <c r="E10" s="121">
        <v>184972</v>
      </c>
      <c r="F10" s="120">
        <f>_xlfn.COMPOUNDVALUE(119)</f>
        <v>933</v>
      </c>
      <c r="G10" s="121">
        <v>2330250</v>
      </c>
      <c r="H10" s="120">
        <f>_xlfn.COMPOUNDVALUE(120)</f>
        <v>52</v>
      </c>
      <c r="I10" s="122">
        <v>245824</v>
      </c>
      <c r="J10" s="120">
        <v>47</v>
      </c>
      <c r="K10" s="122">
        <v>10894</v>
      </c>
      <c r="L10" s="120">
        <v>987</v>
      </c>
      <c r="M10" s="122">
        <v>2095321</v>
      </c>
      <c r="N10" s="79" t="s">
        <v>48</v>
      </c>
    </row>
    <row r="11" spans="1:14" ht="15.75" customHeight="1">
      <c r="A11" s="78" t="s">
        <v>110</v>
      </c>
      <c r="B11" s="120">
        <f>_xlfn.COMPOUNDVALUE(121)</f>
        <v>347</v>
      </c>
      <c r="C11" s="121">
        <v>1633840</v>
      </c>
      <c r="D11" s="120">
        <f>_xlfn.COMPOUNDVALUE(122)</f>
        <v>177</v>
      </c>
      <c r="E11" s="121">
        <v>100606</v>
      </c>
      <c r="F11" s="120">
        <f>_xlfn.COMPOUNDVALUE(123)</f>
        <v>524</v>
      </c>
      <c r="G11" s="121">
        <v>1734446</v>
      </c>
      <c r="H11" s="120">
        <f>_xlfn.COMPOUNDVALUE(124)</f>
        <v>17</v>
      </c>
      <c r="I11" s="122">
        <v>29099</v>
      </c>
      <c r="J11" s="120">
        <v>39</v>
      </c>
      <c r="K11" s="122">
        <v>2052</v>
      </c>
      <c r="L11" s="120">
        <v>543</v>
      </c>
      <c r="M11" s="122">
        <v>1707399</v>
      </c>
      <c r="N11" s="79" t="s">
        <v>50</v>
      </c>
    </row>
    <row r="12" spans="1:14" ht="15.75" customHeight="1">
      <c r="A12" s="78" t="s">
        <v>111</v>
      </c>
      <c r="B12" s="120">
        <f>_xlfn.COMPOUNDVALUE(125)</f>
        <v>381</v>
      </c>
      <c r="C12" s="121">
        <v>1371486</v>
      </c>
      <c r="D12" s="120">
        <f>_xlfn.COMPOUNDVALUE(126)</f>
        <v>197</v>
      </c>
      <c r="E12" s="121">
        <v>108001</v>
      </c>
      <c r="F12" s="120">
        <f>_xlfn.COMPOUNDVALUE(127)</f>
        <v>578</v>
      </c>
      <c r="G12" s="121">
        <v>1479488</v>
      </c>
      <c r="H12" s="120">
        <f>_xlfn.COMPOUNDVALUE(128)</f>
        <v>27</v>
      </c>
      <c r="I12" s="122">
        <v>113031</v>
      </c>
      <c r="J12" s="120">
        <v>46</v>
      </c>
      <c r="K12" s="122">
        <v>15592</v>
      </c>
      <c r="L12" s="120">
        <v>609</v>
      </c>
      <c r="M12" s="122">
        <v>1382049</v>
      </c>
      <c r="N12" s="79" t="s">
        <v>52</v>
      </c>
    </row>
    <row r="13" spans="1:14" ht="15.75" customHeight="1">
      <c r="A13" s="80" t="s">
        <v>112</v>
      </c>
      <c r="B13" s="123">
        <v>7354</v>
      </c>
      <c r="C13" s="124">
        <v>40402364</v>
      </c>
      <c r="D13" s="123">
        <v>3335</v>
      </c>
      <c r="E13" s="124">
        <v>1941429</v>
      </c>
      <c r="F13" s="123">
        <v>10689</v>
      </c>
      <c r="G13" s="124">
        <v>42343792</v>
      </c>
      <c r="H13" s="123">
        <v>505</v>
      </c>
      <c r="I13" s="125">
        <v>9884954</v>
      </c>
      <c r="J13" s="123">
        <v>802</v>
      </c>
      <c r="K13" s="125">
        <v>139132</v>
      </c>
      <c r="L13" s="123">
        <v>11260</v>
      </c>
      <c r="M13" s="125">
        <v>32597970</v>
      </c>
      <c r="N13" s="81" t="s">
        <v>54</v>
      </c>
    </row>
    <row r="14" spans="1:14" ht="15.75" customHeight="1">
      <c r="A14" s="82"/>
      <c r="B14" s="128"/>
      <c r="C14" s="129"/>
      <c r="D14" s="128"/>
      <c r="E14" s="129"/>
      <c r="F14" s="130"/>
      <c r="G14" s="129"/>
      <c r="H14" s="130"/>
      <c r="I14" s="129"/>
      <c r="J14" s="130"/>
      <c r="K14" s="129"/>
      <c r="L14" s="130"/>
      <c r="M14" s="129"/>
      <c r="N14" s="83"/>
    </row>
    <row r="15" spans="1:14" ht="15.75" customHeight="1">
      <c r="A15" s="75" t="s">
        <v>113</v>
      </c>
      <c r="B15" s="115">
        <f>_xlfn.COMPOUNDVALUE(129)</f>
        <v>5269</v>
      </c>
      <c r="C15" s="116">
        <v>50867039</v>
      </c>
      <c r="D15" s="115">
        <f>_xlfn.COMPOUNDVALUE(130)</f>
        <v>2581</v>
      </c>
      <c r="E15" s="116">
        <v>1481046</v>
      </c>
      <c r="F15" s="115">
        <f>_xlfn.COMPOUNDVALUE(131)</f>
        <v>7850</v>
      </c>
      <c r="G15" s="116">
        <v>52348084</v>
      </c>
      <c r="H15" s="115">
        <f>_xlfn.COMPOUNDVALUE(132)</f>
        <v>292</v>
      </c>
      <c r="I15" s="117">
        <v>2322898</v>
      </c>
      <c r="J15" s="115">
        <v>500</v>
      </c>
      <c r="K15" s="117">
        <v>97371</v>
      </c>
      <c r="L15" s="115">
        <v>8193</v>
      </c>
      <c r="M15" s="117">
        <v>50122557</v>
      </c>
      <c r="N15" s="76" t="s">
        <v>56</v>
      </c>
    </row>
    <row r="16" spans="1:14" ht="15.75" customHeight="1">
      <c r="A16" s="78" t="s">
        <v>114</v>
      </c>
      <c r="B16" s="120">
        <f>_xlfn.COMPOUNDVALUE(133)</f>
        <v>1643</v>
      </c>
      <c r="C16" s="121">
        <v>10357673</v>
      </c>
      <c r="D16" s="120">
        <f>_xlfn.COMPOUNDVALUE(134)</f>
        <v>878</v>
      </c>
      <c r="E16" s="121">
        <v>493831</v>
      </c>
      <c r="F16" s="120">
        <f>_xlfn.COMPOUNDVALUE(135)</f>
        <v>2521</v>
      </c>
      <c r="G16" s="121">
        <v>10851505</v>
      </c>
      <c r="H16" s="120">
        <f>_xlfn.COMPOUNDVALUE(136)</f>
        <v>113</v>
      </c>
      <c r="I16" s="122">
        <v>364108</v>
      </c>
      <c r="J16" s="120">
        <v>165</v>
      </c>
      <c r="K16" s="122">
        <v>23989</v>
      </c>
      <c r="L16" s="120">
        <v>2653</v>
      </c>
      <c r="M16" s="122">
        <v>10511386</v>
      </c>
      <c r="N16" s="79" t="s">
        <v>58</v>
      </c>
    </row>
    <row r="17" spans="1:14" ht="15.75" customHeight="1">
      <c r="A17" s="78" t="s">
        <v>115</v>
      </c>
      <c r="B17" s="120">
        <f>_xlfn.COMPOUNDVALUE(137)</f>
        <v>1014</v>
      </c>
      <c r="C17" s="121">
        <v>5661732</v>
      </c>
      <c r="D17" s="120">
        <f>_xlfn.COMPOUNDVALUE(138)</f>
        <v>418</v>
      </c>
      <c r="E17" s="121">
        <v>245100</v>
      </c>
      <c r="F17" s="120">
        <f>_xlfn.COMPOUNDVALUE(139)</f>
        <v>1432</v>
      </c>
      <c r="G17" s="121">
        <v>5906832</v>
      </c>
      <c r="H17" s="120">
        <f>_xlfn.COMPOUNDVALUE(140)</f>
        <v>68</v>
      </c>
      <c r="I17" s="122">
        <v>164227</v>
      </c>
      <c r="J17" s="120">
        <v>139</v>
      </c>
      <c r="K17" s="122">
        <v>37681</v>
      </c>
      <c r="L17" s="120">
        <v>1519</v>
      </c>
      <c r="M17" s="122">
        <v>5780286</v>
      </c>
      <c r="N17" s="79" t="s">
        <v>60</v>
      </c>
    </row>
    <row r="18" spans="1:14" ht="15.75" customHeight="1">
      <c r="A18" s="78" t="s">
        <v>116</v>
      </c>
      <c r="B18" s="120">
        <f>_xlfn.COMPOUNDVALUE(141)</f>
        <v>1260</v>
      </c>
      <c r="C18" s="121">
        <v>7443355</v>
      </c>
      <c r="D18" s="120">
        <f>_xlfn.COMPOUNDVALUE(142)</f>
        <v>483</v>
      </c>
      <c r="E18" s="121">
        <v>263025</v>
      </c>
      <c r="F18" s="120">
        <f>_xlfn.COMPOUNDVALUE(143)</f>
        <v>1743</v>
      </c>
      <c r="G18" s="121">
        <v>7706380</v>
      </c>
      <c r="H18" s="120">
        <f>_xlfn.COMPOUNDVALUE(144)</f>
        <v>68</v>
      </c>
      <c r="I18" s="122">
        <v>463567</v>
      </c>
      <c r="J18" s="120">
        <v>123</v>
      </c>
      <c r="K18" s="122">
        <v>6625</v>
      </c>
      <c r="L18" s="120">
        <v>1816</v>
      </c>
      <c r="M18" s="122">
        <v>7249438</v>
      </c>
      <c r="N18" s="79" t="s">
        <v>62</v>
      </c>
    </row>
    <row r="19" spans="1:14" ht="15.75" customHeight="1">
      <c r="A19" s="78" t="s">
        <v>146</v>
      </c>
      <c r="B19" s="120">
        <f>_xlfn.COMPOUNDVALUE(145)</f>
        <v>685</v>
      </c>
      <c r="C19" s="121">
        <v>3506376</v>
      </c>
      <c r="D19" s="120">
        <f>_xlfn.COMPOUNDVALUE(146)</f>
        <v>285</v>
      </c>
      <c r="E19" s="121">
        <v>151222</v>
      </c>
      <c r="F19" s="120">
        <f>_xlfn.COMPOUNDVALUE(147)</f>
        <v>970</v>
      </c>
      <c r="G19" s="121">
        <v>3657598</v>
      </c>
      <c r="H19" s="120">
        <f>_xlfn.COMPOUNDVALUE(148)</f>
        <v>63</v>
      </c>
      <c r="I19" s="122">
        <v>167777</v>
      </c>
      <c r="J19" s="120">
        <v>78</v>
      </c>
      <c r="K19" s="122">
        <v>382</v>
      </c>
      <c r="L19" s="120">
        <v>1037</v>
      </c>
      <c r="M19" s="122">
        <v>3490203</v>
      </c>
      <c r="N19" s="79" t="s">
        <v>64</v>
      </c>
    </row>
    <row r="20" spans="1:14" ht="15.75" customHeight="1">
      <c r="A20" s="78" t="s">
        <v>147</v>
      </c>
      <c r="B20" s="120">
        <f>_xlfn.COMPOUNDVALUE(149)</f>
        <v>403</v>
      </c>
      <c r="C20" s="121">
        <v>1691811</v>
      </c>
      <c r="D20" s="120">
        <f>_xlfn.COMPOUNDVALUE(150)</f>
        <v>198</v>
      </c>
      <c r="E20" s="121">
        <v>110883</v>
      </c>
      <c r="F20" s="120">
        <f>_xlfn.COMPOUNDVALUE(151)</f>
        <v>601</v>
      </c>
      <c r="G20" s="121">
        <v>1802693</v>
      </c>
      <c r="H20" s="120">
        <f>_xlfn.COMPOUNDVALUE(152)</f>
        <v>23</v>
      </c>
      <c r="I20" s="122">
        <v>114655</v>
      </c>
      <c r="J20" s="120">
        <v>17</v>
      </c>
      <c r="K20" s="122">
        <v>1566</v>
      </c>
      <c r="L20" s="120">
        <v>631</v>
      </c>
      <c r="M20" s="122">
        <v>1689604</v>
      </c>
      <c r="N20" s="79" t="s">
        <v>66</v>
      </c>
    </row>
    <row r="21" spans="1:14" ht="15.75" customHeight="1">
      <c r="A21" s="80" t="s">
        <v>148</v>
      </c>
      <c r="B21" s="123">
        <v>10274</v>
      </c>
      <c r="C21" s="124">
        <v>79527986</v>
      </c>
      <c r="D21" s="123">
        <v>4843</v>
      </c>
      <c r="E21" s="124">
        <v>2745107</v>
      </c>
      <c r="F21" s="123">
        <v>15117</v>
      </c>
      <c r="G21" s="124">
        <v>82273092</v>
      </c>
      <c r="H21" s="123">
        <v>627</v>
      </c>
      <c r="I21" s="125">
        <v>3597231</v>
      </c>
      <c r="J21" s="123">
        <v>1022</v>
      </c>
      <c r="K21" s="125">
        <v>167614</v>
      </c>
      <c r="L21" s="123">
        <v>15849</v>
      </c>
      <c r="M21" s="125">
        <v>78843474</v>
      </c>
      <c r="N21" s="81" t="s">
        <v>68</v>
      </c>
    </row>
    <row r="22" spans="1:14" ht="15.75" customHeight="1">
      <c r="A22" s="82"/>
      <c r="B22" s="128"/>
      <c r="C22" s="129"/>
      <c r="D22" s="128"/>
      <c r="E22" s="129"/>
      <c r="F22" s="130"/>
      <c r="G22" s="129"/>
      <c r="H22" s="130"/>
      <c r="I22" s="129"/>
      <c r="J22" s="130"/>
      <c r="K22" s="129"/>
      <c r="L22" s="130"/>
      <c r="M22" s="129"/>
      <c r="N22" s="83"/>
    </row>
    <row r="23" spans="1:14" ht="15.75" customHeight="1">
      <c r="A23" s="75" t="s">
        <v>149</v>
      </c>
      <c r="B23" s="115">
        <f>_xlfn.COMPOUNDVALUE(153)</f>
        <v>5901</v>
      </c>
      <c r="C23" s="116">
        <v>41653655</v>
      </c>
      <c r="D23" s="115">
        <f>_xlfn.COMPOUNDVALUE(154)</f>
        <v>2652</v>
      </c>
      <c r="E23" s="116">
        <v>1628606</v>
      </c>
      <c r="F23" s="115">
        <f>_xlfn.COMPOUNDVALUE(155)</f>
        <v>8553</v>
      </c>
      <c r="G23" s="116">
        <v>43282261</v>
      </c>
      <c r="H23" s="115">
        <f>_xlfn.COMPOUNDVALUE(156)</f>
        <v>359</v>
      </c>
      <c r="I23" s="117">
        <v>3247128</v>
      </c>
      <c r="J23" s="115">
        <v>751</v>
      </c>
      <c r="K23" s="117">
        <v>76079</v>
      </c>
      <c r="L23" s="115">
        <v>8958</v>
      </c>
      <c r="M23" s="117">
        <v>40111212</v>
      </c>
      <c r="N23" s="76" t="s">
        <v>70</v>
      </c>
    </row>
    <row r="24" spans="1:14" ht="15.75" customHeight="1">
      <c r="A24" s="78" t="s">
        <v>150</v>
      </c>
      <c r="B24" s="120">
        <f>_xlfn.COMPOUNDVALUE(157)</f>
        <v>1984</v>
      </c>
      <c r="C24" s="121">
        <v>15276272</v>
      </c>
      <c r="D24" s="120">
        <f>_xlfn.COMPOUNDVALUE(158)</f>
        <v>897</v>
      </c>
      <c r="E24" s="121">
        <v>590349</v>
      </c>
      <c r="F24" s="120">
        <f>_xlfn.COMPOUNDVALUE(159)</f>
        <v>2881</v>
      </c>
      <c r="G24" s="121">
        <v>15866620</v>
      </c>
      <c r="H24" s="120">
        <f>_xlfn.COMPOUNDVALUE(160)</f>
        <v>241</v>
      </c>
      <c r="I24" s="122">
        <v>32992277</v>
      </c>
      <c r="J24" s="120">
        <v>188</v>
      </c>
      <c r="K24" s="122">
        <v>34654</v>
      </c>
      <c r="L24" s="120">
        <v>3138</v>
      </c>
      <c r="M24" s="122">
        <v>-17091002</v>
      </c>
      <c r="N24" s="79" t="s">
        <v>72</v>
      </c>
    </row>
    <row r="25" spans="1:14" ht="15.75" customHeight="1">
      <c r="A25" s="78" t="s">
        <v>151</v>
      </c>
      <c r="B25" s="120">
        <f>_xlfn.COMPOUNDVALUE(161)</f>
        <v>981</v>
      </c>
      <c r="C25" s="121">
        <v>4458756</v>
      </c>
      <c r="D25" s="120">
        <f>_xlfn.COMPOUNDVALUE(162)</f>
        <v>439</v>
      </c>
      <c r="E25" s="121">
        <v>245750</v>
      </c>
      <c r="F25" s="120">
        <f>_xlfn.COMPOUNDVALUE(163)</f>
        <v>1420</v>
      </c>
      <c r="G25" s="121">
        <v>4704506</v>
      </c>
      <c r="H25" s="120">
        <f>_xlfn.COMPOUNDVALUE(164)</f>
        <v>85</v>
      </c>
      <c r="I25" s="122">
        <v>445688</v>
      </c>
      <c r="J25" s="120">
        <v>182</v>
      </c>
      <c r="K25" s="122">
        <v>13119</v>
      </c>
      <c r="L25" s="120">
        <v>1514</v>
      </c>
      <c r="M25" s="122">
        <v>4271937</v>
      </c>
      <c r="N25" s="79" t="s">
        <v>74</v>
      </c>
    </row>
    <row r="26" spans="1:14" ht="15.75" customHeight="1">
      <c r="A26" s="78" t="s">
        <v>152</v>
      </c>
      <c r="B26" s="120">
        <f>_xlfn.COMPOUNDVALUE(165)</f>
        <v>714</v>
      </c>
      <c r="C26" s="121">
        <v>3199800</v>
      </c>
      <c r="D26" s="120">
        <f>_xlfn.COMPOUNDVALUE(166)</f>
        <v>360</v>
      </c>
      <c r="E26" s="121">
        <v>186728</v>
      </c>
      <c r="F26" s="120">
        <f>_xlfn.COMPOUNDVALUE(167)</f>
        <v>1074</v>
      </c>
      <c r="G26" s="121">
        <v>3386528</v>
      </c>
      <c r="H26" s="120">
        <f>_xlfn.COMPOUNDVALUE(168)</f>
        <v>54</v>
      </c>
      <c r="I26" s="122">
        <v>209663</v>
      </c>
      <c r="J26" s="120">
        <v>60</v>
      </c>
      <c r="K26" s="122">
        <v>3521</v>
      </c>
      <c r="L26" s="120">
        <v>1132</v>
      </c>
      <c r="M26" s="122">
        <v>3180386</v>
      </c>
      <c r="N26" s="79" t="s">
        <v>76</v>
      </c>
    </row>
    <row r="27" spans="1:14" ht="15.75" customHeight="1">
      <c r="A27" s="78" t="s">
        <v>153</v>
      </c>
      <c r="B27" s="120">
        <f>_xlfn.COMPOUNDVALUE(169)</f>
        <v>1079</v>
      </c>
      <c r="C27" s="121">
        <v>8148315</v>
      </c>
      <c r="D27" s="120">
        <f>_xlfn.COMPOUNDVALUE(170)</f>
        <v>477</v>
      </c>
      <c r="E27" s="121">
        <v>294396</v>
      </c>
      <c r="F27" s="120">
        <f>_xlfn.COMPOUNDVALUE(171)</f>
        <v>1556</v>
      </c>
      <c r="G27" s="121">
        <v>8442711</v>
      </c>
      <c r="H27" s="120">
        <f>_xlfn.COMPOUNDVALUE(172)</f>
        <v>44</v>
      </c>
      <c r="I27" s="122">
        <v>208426</v>
      </c>
      <c r="J27" s="120">
        <v>125</v>
      </c>
      <c r="K27" s="122">
        <v>22443</v>
      </c>
      <c r="L27" s="120">
        <v>1603</v>
      </c>
      <c r="M27" s="122">
        <v>8256729</v>
      </c>
      <c r="N27" s="79" t="s">
        <v>78</v>
      </c>
    </row>
    <row r="28" spans="1:14" ht="15.75" customHeight="1">
      <c r="A28" s="78" t="s">
        <v>154</v>
      </c>
      <c r="B28" s="120">
        <f>_xlfn.COMPOUNDVALUE(173)</f>
        <v>961</v>
      </c>
      <c r="C28" s="121">
        <v>4835669</v>
      </c>
      <c r="D28" s="120">
        <f>_xlfn.COMPOUNDVALUE(174)</f>
        <v>480</v>
      </c>
      <c r="E28" s="121">
        <v>292253</v>
      </c>
      <c r="F28" s="120">
        <f>_xlfn.COMPOUNDVALUE(175)</f>
        <v>1441</v>
      </c>
      <c r="G28" s="121">
        <v>5127922</v>
      </c>
      <c r="H28" s="120">
        <f>_xlfn.COMPOUNDVALUE(176)</f>
        <v>69</v>
      </c>
      <c r="I28" s="122">
        <v>693505</v>
      </c>
      <c r="J28" s="120">
        <v>99</v>
      </c>
      <c r="K28" s="122">
        <v>14731</v>
      </c>
      <c r="L28" s="120">
        <v>1517</v>
      </c>
      <c r="M28" s="122">
        <v>4449149</v>
      </c>
      <c r="N28" s="79" t="s">
        <v>80</v>
      </c>
    </row>
    <row r="29" spans="1:14" ht="15.75" customHeight="1">
      <c r="A29" s="78" t="s">
        <v>155</v>
      </c>
      <c r="B29" s="120">
        <f>_xlfn.COMPOUNDVALUE(177)</f>
        <v>512</v>
      </c>
      <c r="C29" s="121">
        <v>2745063</v>
      </c>
      <c r="D29" s="120">
        <f>_xlfn.COMPOUNDVALUE(178)</f>
        <v>267</v>
      </c>
      <c r="E29" s="121">
        <v>159279</v>
      </c>
      <c r="F29" s="120">
        <f>_xlfn.COMPOUNDVALUE(179)</f>
        <v>779</v>
      </c>
      <c r="G29" s="121">
        <v>2904342</v>
      </c>
      <c r="H29" s="120">
        <f>_xlfn.COMPOUNDVALUE(180)</f>
        <v>23</v>
      </c>
      <c r="I29" s="122">
        <v>53288</v>
      </c>
      <c r="J29" s="120">
        <v>44</v>
      </c>
      <c r="K29" s="122">
        <v>7543</v>
      </c>
      <c r="L29" s="120">
        <v>807</v>
      </c>
      <c r="M29" s="122">
        <v>2858597</v>
      </c>
      <c r="N29" s="79" t="s">
        <v>82</v>
      </c>
    </row>
    <row r="30" spans="1:14" ht="15.75" customHeight="1">
      <c r="A30" s="78" t="s">
        <v>156</v>
      </c>
      <c r="B30" s="120">
        <f>_xlfn.COMPOUNDVALUE(181)</f>
        <v>1056</v>
      </c>
      <c r="C30" s="121">
        <v>14858754</v>
      </c>
      <c r="D30" s="120">
        <f>_xlfn.COMPOUNDVALUE(182)</f>
        <v>389</v>
      </c>
      <c r="E30" s="121">
        <v>206276</v>
      </c>
      <c r="F30" s="120">
        <f>_xlfn.COMPOUNDVALUE(183)</f>
        <v>1445</v>
      </c>
      <c r="G30" s="121">
        <v>15065029</v>
      </c>
      <c r="H30" s="120">
        <f>_xlfn.COMPOUNDVALUE(184)</f>
        <v>72</v>
      </c>
      <c r="I30" s="122">
        <v>231756</v>
      </c>
      <c r="J30" s="120">
        <v>134</v>
      </c>
      <c r="K30" s="122">
        <v>3414</v>
      </c>
      <c r="L30" s="120">
        <v>1523</v>
      </c>
      <c r="M30" s="122">
        <v>14836687</v>
      </c>
      <c r="N30" s="79" t="s">
        <v>84</v>
      </c>
    </row>
    <row r="31" spans="1:14" ht="15.75" customHeight="1">
      <c r="A31" s="80" t="s">
        <v>157</v>
      </c>
      <c r="B31" s="123">
        <v>13188</v>
      </c>
      <c r="C31" s="124">
        <v>95176283</v>
      </c>
      <c r="D31" s="123">
        <v>5961</v>
      </c>
      <c r="E31" s="124">
        <v>3603637</v>
      </c>
      <c r="F31" s="123">
        <v>19149</v>
      </c>
      <c r="G31" s="124">
        <v>98779919</v>
      </c>
      <c r="H31" s="123">
        <v>947</v>
      </c>
      <c r="I31" s="125">
        <v>38081731</v>
      </c>
      <c r="J31" s="123">
        <v>1583</v>
      </c>
      <c r="K31" s="125">
        <v>175505</v>
      </c>
      <c r="L31" s="123">
        <v>20192</v>
      </c>
      <c r="M31" s="125">
        <v>60873694</v>
      </c>
      <c r="N31" s="81" t="s">
        <v>86</v>
      </c>
    </row>
    <row r="32" spans="1:14" ht="15.75" customHeight="1">
      <c r="A32" s="82"/>
      <c r="B32" s="128"/>
      <c r="C32" s="129"/>
      <c r="D32" s="128"/>
      <c r="E32" s="129"/>
      <c r="F32" s="130"/>
      <c r="G32" s="129"/>
      <c r="H32" s="130"/>
      <c r="I32" s="129"/>
      <c r="J32" s="130"/>
      <c r="K32" s="129"/>
      <c r="L32" s="130"/>
      <c r="M32" s="129"/>
      <c r="N32" s="83"/>
    </row>
    <row r="33" spans="1:14" ht="15.75" customHeight="1">
      <c r="A33" s="75" t="s">
        <v>158</v>
      </c>
      <c r="B33" s="115">
        <f>_xlfn.COMPOUNDVALUE(185)</f>
        <v>3495</v>
      </c>
      <c r="C33" s="116">
        <v>24871215</v>
      </c>
      <c r="D33" s="115">
        <f>_xlfn.COMPOUNDVALUE(186)</f>
        <v>1421</v>
      </c>
      <c r="E33" s="116">
        <v>870320</v>
      </c>
      <c r="F33" s="115">
        <f>_xlfn.COMPOUNDVALUE(187)</f>
        <v>4916</v>
      </c>
      <c r="G33" s="116">
        <v>25741535</v>
      </c>
      <c r="H33" s="115">
        <f>_xlfn.COMPOUNDVALUE(188)</f>
        <v>171</v>
      </c>
      <c r="I33" s="117">
        <v>1305296</v>
      </c>
      <c r="J33" s="115">
        <v>415</v>
      </c>
      <c r="K33" s="117">
        <v>49371</v>
      </c>
      <c r="L33" s="115">
        <v>5112</v>
      </c>
      <c r="M33" s="117">
        <v>24485610</v>
      </c>
      <c r="N33" s="76" t="s">
        <v>88</v>
      </c>
    </row>
    <row r="34" spans="1:14" ht="15.75" customHeight="1">
      <c r="A34" s="78" t="s">
        <v>159</v>
      </c>
      <c r="B34" s="120">
        <f>_xlfn.COMPOUNDVALUE(189)</f>
        <v>332</v>
      </c>
      <c r="C34" s="121">
        <v>1446658</v>
      </c>
      <c r="D34" s="120">
        <f>_xlfn.COMPOUNDVALUE(190)</f>
        <v>149</v>
      </c>
      <c r="E34" s="121">
        <v>82555</v>
      </c>
      <c r="F34" s="120">
        <f>_xlfn.COMPOUNDVALUE(191)</f>
        <v>481</v>
      </c>
      <c r="G34" s="121">
        <v>1529213</v>
      </c>
      <c r="H34" s="120">
        <f>_xlfn.COMPOUNDVALUE(192)</f>
        <v>28</v>
      </c>
      <c r="I34" s="122">
        <v>149042</v>
      </c>
      <c r="J34" s="120">
        <v>43</v>
      </c>
      <c r="K34" s="122">
        <v>4715</v>
      </c>
      <c r="L34" s="120">
        <v>523</v>
      </c>
      <c r="M34" s="122">
        <v>1384886</v>
      </c>
      <c r="N34" s="79" t="s">
        <v>90</v>
      </c>
    </row>
    <row r="35" spans="1:14" ht="15.75" customHeight="1">
      <c r="A35" s="78" t="s">
        <v>160</v>
      </c>
      <c r="B35" s="120">
        <f>_xlfn.COMPOUNDVALUE(193)</f>
        <v>789</v>
      </c>
      <c r="C35" s="121">
        <v>4054861</v>
      </c>
      <c r="D35" s="120">
        <f>_xlfn.COMPOUNDVALUE(194)</f>
        <v>304</v>
      </c>
      <c r="E35" s="121">
        <v>190919</v>
      </c>
      <c r="F35" s="120">
        <f>_xlfn.COMPOUNDVALUE(195)</f>
        <v>1093</v>
      </c>
      <c r="G35" s="121">
        <v>4245779</v>
      </c>
      <c r="H35" s="120">
        <f>_xlfn.COMPOUNDVALUE(196)</f>
        <v>38</v>
      </c>
      <c r="I35" s="122">
        <v>635117</v>
      </c>
      <c r="J35" s="120">
        <v>66</v>
      </c>
      <c r="K35" s="122">
        <v>12308</v>
      </c>
      <c r="L35" s="120">
        <v>1143</v>
      </c>
      <c r="M35" s="122">
        <v>3622970</v>
      </c>
      <c r="N35" s="79" t="s">
        <v>92</v>
      </c>
    </row>
    <row r="36" spans="1:14" ht="15.75" customHeight="1">
      <c r="A36" s="78" t="s">
        <v>161</v>
      </c>
      <c r="B36" s="120">
        <f>_xlfn.COMPOUNDVALUE(197)</f>
        <v>580</v>
      </c>
      <c r="C36" s="121">
        <v>2137016</v>
      </c>
      <c r="D36" s="120">
        <f>_xlfn.COMPOUNDVALUE(198)</f>
        <v>221</v>
      </c>
      <c r="E36" s="121">
        <v>135790</v>
      </c>
      <c r="F36" s="120">
        <f>_xlfn.COMPOUNDVALUE(199)</f>
        <v>801</v>
      </c>
      <c r="G36" s="121">
        <v>2272806</v>
      </c>
      <c r="H36" s="120">
        <f>_xlfn.COMPOUNDVALUE(200)</f>
        <v>47</v>
      </c>
      <c r="I36" s="122">
        <v>253209</v>
      </c>
      <c r="J36" s="120">
        <v>50</v>
      </c>
      <c r="K36" s="122">
        <v>7129</v>
      </c>
      <c r="L36" s="120">
        <v>856</v>
      </c>
      <c r="M36" s="122">
        <v>2026726</v>
      </c>
      <c r="N36" s="79" t="s">
        <v>94</v>
      </c>
    </row>
    <row r="37" spans="1:14" ht="15.75" customHeight="1">
      <c r="A37" s="78" t="s">
        <v>162</v>
      </c>
      <c r="B37" s="120">
        <f>_xlfn.COMPOUNDVALUE(201)</f>
        <v>676</v>
      </c>
      <c r="C37" s="121">
        <v>2630248</v>
      </c>
      <c r="D37" s="120">
        <f>_xlfn.COMPOUNDVALUE(202)</f>
        <v>293</v>
      </c>
      <c r="E37" s="121">
        <v>225177</v>
      </c>
      <c r="F37" s="120">
        <f>_xlfn.COMPOUNDVALUE(203)</f>
        <v>969</v>
      </c>
      <c r="G37" s="121">
        <v>2855425</v>
      </c>
      <c r="H37" s="120">
        <f>_xlfn.COMPOUNDVALUE(204)</f>
        <v>43</v>
      </c>
      <c r="I37" s="122">
        <v>219728</v>
      </c>
      <c r="J37" s="120">
        <v>63</v>
      </c>
      <c r="K37" s="122">
        <v>20485</v>
      </c>
      <c r="L37" s="120">
        <v>1027</v>
      </c>
      <c r="M37" s="122">
        <v>2656182</v>
      </c>
      <c r="N37" s="79" t="s">
        <v>96</v>
      </c>
    </row>
    <row r="38" spans="1:14" ht="15.75" customHeight="1">
      <c r="A38" s="78" t="s">
        <v>163</v>
      </c>
      <c r="B38" s="120">
        <f>_xlfn.COMPOUNDVALUE(205)</f>
        <v>456</v>
      </c>
      <c r="C38" s="121">
        <v>2307898</v>
      </c>
      <c r="D38" s="120">
        <f>_xlfn.COMPOUNDVALUE(206)</f>
        <v>188</v>
      </c>
      <c r="E38" s="121">
        <v>105435</v>
      </c>
      <c r="F38" s="120">
        <f>_xlfn.COMPOUNDVALUE(207)</f>
        <v>644</v>
      </c>
      <c r="G38" s="121">
        <v>2413332</v>
      </c>
      <c r="H38" s="120">
        <f>_xlfn.COMPOUNDVALUE(208)</f>
        <v>29</v>
      </c>
      <c r="I38" s="122">
        <v>156667</v>
      </c>
      <c r="J38" s="120">
        <v>46</v>
      </c>
      <c r="K38" s="122">
        <v>10857</v>
      </c>
      <c r="L38" s="120">
        <v>682</v>
      </c>
      <c r="M38" s="122">
        <v>2267521</v>
      </c>
      <c r="N38" s="79" t="s">
        <v>98</v>
      </c>
    </row>
    <row r="39" spans="1:14" ht="15.75" customHeight="1">
      <c r="A39" s="80" t="s">
        <v>164</v>
      </c>
      <c r="B39" s="123">
        <v>6328</v>
      </c>
      <c r="C39" s="124">
        <v>37447895</v>
      </c>
      <c r="D39" s="123">
        <v>2576</v>
      </c>
      <c r="E39" s="124">
        <v>1610195</v>
      </c>
      <c r="F39" s="123">
        <v>8904</v>
      </c>
      <c r="G39" s="124">
        <v>39058090</v>
      </c>
      <c r="H39" s="123">
        <v>356</v>
      </c>
      <c r="I39" s="125">
        <v>2719059</v>
      </c>
      <c r="J39" s="123">
        <v>683</v>
      </c>
      <c r="K39" s="125">
        <v>104864</v>
      </c>
      <c r="L39" s="123">
        <v>9343</v>
      </c>
      <c r="M39" s="125">
        <v>36443895</v>
      </c>
      <c r="N39" s="81" t="s">
        <v>100</v>
      </c>
    </row>
    <row r="40" spans="1:14" ht="15.75" customHeight="1" thickBot="1">
      <c r="A40" s="84"/>
      <c r="B40" s="137"/>
      <c r="C40" s="138"/>
      <c r="D40" s="137"/>
      <c r="E40" s="138"/>
      <c r="F40" s="139"/>
      <c r="G40" s="138"/>
      <c r="H40" s="139"/>
      <c r="I40" s="138"/>
      <c r="J40" s="139"/>
      <c r="K40" s="138"/>
      <c r="L40" s="139"/>
      <c r="M40" s="138"/>
      <c r="N40" s="85"/>
    </row>
    <row r="41" spans="1:14" ht="15.75" customHeight="1" thickBot="1" thickTop="1">
      <c r="A41" s="87" t="s">
        <v>165</v>
      </c>
      <c r="B41" s="140">
        <v>37144</v>
      </c>
      <c r="C41" s="141">
        <v>252554527</v>
      </c>
      <c r="D41" s="140">
        <v>16715</v>
      </c>
      <c r="E41" s="141">
        <v>9900367</v>
      </c>
      <c r="F41" s="140">
        <v>53859</v>
      </c>
      <c r="G41" s="141">
        <v>262454894</v>
      </c>
      <c r="H41" s="140">
        <v>2435</v>
      </c>
      <c r="I41" s="142">
        <v>54282975</v>
      </c>
      <c r="J41" s="140">
        <v>4090</v>
      </c>
      <c r="K41" s="142">
        <v>587115</v>
      </c>
      <c r="L41" s="140">
        <v>56644</v>
      </c>
      <c r="M41" s="142">
        <v>208759034</v>
      </c>
      <c r="N41" s="88" t="s">
        <v>102</v>
      </c>
    </row>
    <row r="42" spans="1:14" ht="13.5">
      <c r="A42" s="213" t="s">
        <v>173</v>
      </c>
      <c r="B42" s="213"/>
      <c r="C42" s="213"/>
      <c r="D42" s="213"/>
      <c r="E42" s="213"/>
      <c r="F42" s="213"/>
      <c r="G42" s="213"/>
      <c r="H42" s="213"/>
      <c r="I42" s="213"/>
      <c r="J42" s="89"/>
      <c r="K42" s="89"/>
      <c r="L42" s="63"/>
      <c r="M42" s="63"/>
      <c r="N42" s="63"/>
    </row>
  </sheetData>
  <sheetProtection/>
  <mergeCells count="11">
    <mergeCell ref="A2:I2"/>
    <mergeCell ref="A3:A5"/>
    <mergeCell ref="B3:G3"/>
    <mergeCell ref="H3:I4"/>
    <mergeCell ref="J3:K4"/>
    <mergeCell ref="L3:M4"/>
    <mergeCell ref="N3:N5"/>
    <mergeCell ref="B4:C4"/>
    <mergeCell ref="D4:E4"/>
    <mergeCell ref="F4:G4"/>
    <mergeCell ref="A42:I42"/>
  </mergeCells>
  <printOptions horizontalCentered="1"/>
  <pageMargins left="0.7086614173228347" right="0.7086614173228347" top="0.7480314960629921" bottom="0.7480314960629921" header="0.31496062992125984" footer="0.31496062992125984"/>
  <pageSetup fitToHeight="0" horizontalDpi="600" verticalDpi="600" orientation="landscape" paperSize="9" scale="77" r:id="rId1"/>
  <headerFooter>
    <oddFooter>&amp;R高松国税局
消費税
(H27)</oddFooter>
  </headerFooter>
</worksheet>
</file>

<file path=xl/worksheets/sheet6.xml><?xml version="1.0" encoding="utf-8"?>
<worksheet xmlns="http://schemas.openxmlformats.org/spreadsheetml/2006/main" xmlns:r="http://schemas.openxmlformats.org/officeDocument/2006/relationships">
  <dimension ref="A1:S42"/>
  <sheetViews>
    <sheetView tabSelected="1" view="pageBreakPreview" zoomScaleSheetLayoutView="100" zoomScalePageLayoutView="0" workbookViewId="0" topLeftCell="F16">
      <selection activeCell="A1" sqref="A1:K1"/>
    </sheetView>
  </sheetViews>
  <sheetFormatPr defaultColWidth="9.00390625" defaultRowHeight="13.5"/>
  <cols>
    <col min="1" max="1" width="10.375" style="114" customWidth="1"/>
    <col min="2" max="2" width="10.625" style="114" customWidth="1"/>
    <col min="3" max="3" width="12.625" style="114" customWidth="1"/>
    <col min="4" max="4" width="10.625" style="114" customWidth="1"/>
    <col min="5" max="5" width="12.625" style="114" customWidth="1"/>
    <col min="6" max="6" width="10.625" style="114" customWidth="1"/>
    <col min="7" max="7" width="12.625" style="114" customWidth="1"/>
    <col min="8" max="8" width="10.625" style="114" customWidth="1"/>
    <col min="9" max="9" width="12.625" style="114" customWidth="1"/>
    <col min="10" max="10" width="10.625" style="114" customWidth="1"/>
    <col min="11" max="11" width="12.625" style="114" customWidth="1"/>
    <col min="12" max="12" width="10.625" style="114" customWidth="1"/>
    <col min="13" max="13" width="12.625" style="114" customWidth="1"/>
    <col min="14" max="17" width="10.625" style="114" customWidth="1"/>
    <col min="18" max="18" width="10.375" style="114" customWidth="1"/>
    <col min="19" max="16384" width="9.00390625" style="114" customWidth="1"/>
  </cols>
  <sheetData>
    <row r="1" spans="1:16" ht="13.5">
      <c r="A1" s="62" t="s">
        <v>103</v>
      </c>
      <c r="B1" s="62"/>
      <c r="C1" s="62"/>
      <c r="D1" s="62"/>
      <c r="E1" s="62"/>
      <c r="F1" s="62"/>
      <c r="G1" s="62"/>
      <c r="H1" s="62"/>
      <c r="I1" s="62"/>
      <c r="J1" s="62"/>
      <c r="K1" s="62"/>
      <c r="L1" s="63"/>
      <c r="M1" s="63"/>
      <c r="N1" s="63"/>
      <c r="O1" s="63"/>
      <c r="P1" s="63"/>
    </row>
    <row r="2" spans="1:16" ht="14.25" thickBot="1">
      <c r="A2" s="220" t="s">
        <v>117</v>
      </c>
      <c r="B2" s="220"/>
      <c r="C2" s="220"/>
      <c r="D2" s="220"/>
      <c r="E2" s="220"/>
      <c r="F2" s="220"/>
      <c r="G2" s="220"/>
      <c r="H2" s="220"/>
      <c r="I2" s="220"/>
      <c r="J2" s="89"/>
      <c r="K2" s="89"/>
      <c r="L2" s="63"/>
      <c r="M2" s="63"/>
      <c r="N2" s="63"/>
      <c r="O2" s="63"/>
      <c r="P2" s="63"/>
    </row>
    <row r="3" spans="1:19" ht="19.5" customHeight="1">
      <c r="A3" s="215" t="s">
        <v>28</v>
      </c>
      <c r="B3" s="218" t="s">
        <v>29</v>
      </c>
      <c r="C3" s="218"/>
      <c r="D3" s="218"/>
      <c r="E3" s="218"/>
      <c r="F3" s="218"/>
      <c r="G3" s="218"/>
      <c r="H3" s="218" t="s">
        <v>13</v>
      </c>
      <c r="I3" s="218"/>
      <c r="J3" s="233" t="s">
        <v>30</v>
      </c>
      <c r="K3" s="218"/>
      <c r="L3" s="218" t="s">
        <v>31</v>
      </c>
      <c r="M3" s="218"/>
      <c r="N3" s="221" t="s">
        <v>118</v>
      </c>
      <c r="O3" s="222"/>
      <c r="P3" s="222"/>
      <c r="Q3" s="222"/>
      <c r="R3" s="208" t="s">
        <v>105</v>
      </c>
      <c r="S3" s="167"/>
    </row>
    <row r="4" spans="1:19" ht="17.25" customHeight="1">
      <c r="A4" s="216"/>
      <c r="B4" s="211" t="s">
        <v>16</v>
      </c>
      <c r="C4" s="211"/>
      <c r="D4" s="211" t="s">
        <v>33</v>
      </c>
      <c r="E4" s="211"/>
      <c r="F4" s="211" t="s">
        <v>34</v>
      </c>
      <c r="G4" s="211"/>
      <c r="H4" s="211"/>
      <c r="I4" s="211"/>
      <c r="J4" s="211"/>
      <c r="K4" s="211"/>
      <c r="L4" s="211"/>
      <c r="M4" s="211"/>
      <c r="N4" s="225" t="s">
        <v>119</v>
      </c>
      <c r="O4" s="227" t="s">
        <v>120</v>
      </c>
      <c r="P4" s="229" t="s">
        <v>121</v>
      </c>
      <c r="Q4" s="231" t="s">
        <v>122</v>
      </c>
      <c r="R4" s="223"/>
      <c r="S4" s="167"/>
    </row>
    <row r="5" spans="1:19" ht="28.5" customHeight="1">
      <c r="A5" s="217"/>
      <c r="B5" s="64" t="s">
        <v>35</v>
      </c>
      <c r="C5" s="65" t="s">
        <v>36</v>
      </c>
      <c r="D5" s="64" t="s">
        <v>35</v>
      </c>
      <c r="E5" s="65" t="s">
        <v>36</v>
      </c>
      <c r="F5" s="64" t="s">
        <v>35</v>
      </c>
      <c r="G5" s="65" t="s">
        <v>37</v>
      </c>
      <c r="H5" s="64" t="s">
        <v>35</v>
      </c>
      <c r="I5" s="65" t="s">
        <v>38</v>
      </c>
      <c r="J5" s="64" t="s">
        <v>35</v>
      </c>
      <c r="K5" s="65" t="s">
        <v>39</v>
      </c>
      <c r="L5" s="64" t="s">
        <v>35</v>
      </c>
      <c r="M5" s="91" t="s">
        <v>123</v>
      </c>
      <c r="N5" s="226"/>
      <c r="O5" s="228"/>
      <c r="P5" s="230"/>
      <c r="Q5" s="232"/>
      <c r="R5" s="224"/>
      <c r="S5" s="168"/>
    </row>
    <row r="6" spans="1:19" s="90" customFormat="1" ht="10.5">
      <c r="A6" s="69"/>
      <c r="B6" s="70" t="s">
        <v>4</v>
      </c>
      <c r="C6" s="71" t="s">
        <v>5</v>
      </c>
      <c r="D6" s="70" t="s">
        <v>4</v>
      </c>
      <c r="E6" s="71" t="s">
        <v>5</v>
      </c>
      <c r="F6" s="70" t="s">
        <v>4</v>
      </c>
      <c r="G6" s="71" t="s">
        <v>5</v>
      </c>
      <c r="H6" s="70" t="s">
        <v>4</v>
      </c>
      <c r="I6" s="72" t="s">
        <v>5</v>
      </c>
      <c r="J6" s="70" t="s">
        <v>4</v>
      </c>
      <c r="K6" s="72" t="s">
        <v>5</v>
      </c>
      <c r="L6" s="70" t="s">
        <v>4</v>
      </c>
      <c r="M6" s="160" t="s">
        <v>5</v>
      </c>
      <c r="N6" s="163" t="s">
        <v>4</v>
      </c>
      <c r="O6" s="165" t="s">
        <v>4</v>
      </c>
      <c r="P6" s="158" t="s">
        <v>4</v>
      </c>
      <c r="Q6" s="162" t="s">
        <v>4</v>
      </c>
      <c r="R6" s="170"/>
      <c r="S6" s="169"/>
    </row>
    <row r="7" spans="1:19" ht="15.75" customHeight="1">
      <c r="A7" s="75" t="s">
        <v>41</v>
      </c>
      <c r="B7" s="115">
        <f>_xlfn.COMPOUNDVALUE(209)</f>
        <v>5164</v>
      </c>
      <c r="C7" s="116">
        <v>23778338</v>
      </c>
      <c r="D7" s="115">
        <f>_xlfn.COMPOUNDVALUE(210)</f>
        <v>3509</v>
      </c>
      <c r="E7" s="116">
        <v>1681903</v>
      </c>
      <c r="F7" s="115">
        <f>_xlfn.COMPOUNDVALUE(211)</f>
        <v>8673</v>
      </c>
      <c r="G7" s="116">
        <v>25460241</v>
      </c>
      <c r="H7" s="115">
        <f>_xlfn.COMPOUNDVALUE(212)</f>
        <v>335</v>
      </c>
      <c r="I7" s="117">
        <v>1429671</v>
      </c>
      <c r="J7" s="115">
        <v>699</v>
      </c>
      <c r="K7" s="117">
        <v>117562</v>
      </c>
      <c r="L7" s="115">
        <v>9148</v>
      </c>
      <c r="M7" s="161">
        <v>24148132</v>
      </c>
      <c r="N7" s="157">
        <v>9073</v>
      </c>
      <c r="O7" s="166">
        <v>256</v>
      </c>
      <c r="P7" s="159">
        <v>21</v>
      </c>
      <c r="Q7" s="157">
        <v>9350</v>
      </c>
      <c r="R7" s="92" t="s">
        <v>42</v>
      </c>
      <c r="S7" s="168"/>
    </row>
    <row r="8" spans="1:19" ht="15.75" customHeight="1">
      <c r="A8" s="78" t="s">
        <v>43</v>
      </c>
      <c r="B8" s="120">
        <f>_xlfn.COMPOUNDVALUE(213)</f>
        <v>1711</v>
      </c>
      <c r="C8" s="121">
        <v>8725479</v>
      </c>
      <c r="D8" s="120">
        <f>_xlfn.COMPOUNDVALUE(214)</f>
        <v>1744</v>
      </c>
      <c r="E8" s="121">
        <v>779558</v>
      </c>
      <c r="F8" s="120">
        <f>_xlfn.COMPOUNDVALUE(215)</f>
        <v>3455</v>
      </c>
      <c r="G8" s="121">
        <v>9505037</v>
      </c>
      <c r="H8" s="120">
        <f>_xlfn.COMPOUNDVALUE(216)</f>
        <v>143</v>
      </c>
      <c r="I8" s="122">
        <v>706666</v>
      </c>
      <c r="J8" s="120">
        <v>257</v>
      </c>
      <c r="K8" s="122">
        <v>66335</v>
      </c>
      <c r="L8" s="120">
        <v>3668</v>
      </c>
      <c r="M8" s="122">
        <v>8864706</v>
      </c>
      <c r="N8" s="164">
        <v>3742</v>
      </c>
      <c r="O8" s="166">
        <v>99</v>
      </c>
      <c r="P8" s="156">
        <v>9</v>
      </c>
      <c r="Q8" s="119">
        <v>3850</v>
      </c>
      <c r="R8" s="92" t="s">
        <v>44</v>
      </c>
      <c r="S8" s="167"/>
    </row>
    <row r="9" spans="1:19" ht="15.75" customHeight="1">
      <c r="A9" s="78" t="s">
        <v>45</v>
      </c>
      <c r="B9" s="120">
        <f>_xlfn.COMPOUNDVALUE(217)</f>
        <v>1283</v>
      </c>
      <c r="C9" s="121">
        <v>3889825</v>
      </c>
      <c r="D9" s="120">
        <f>_xlfn.COMPOUNDVALUE(218)</f>
        <v>893</v>
      </c>
      <c r="E9" s="121">
        <v>395528</v>
      </c>
      <c r="F9" s="120">
        <f>_xlfn.COMPOUNDVALUE(219)</f>
        <v>2176</v>
      </c>
      <c r="G9" s="121">
        <v>4285353</v>
      </c>
      <c r="H9" s="120">
        <f>_xlfn.COMPOUNDVALUE(220)</f>
        <v>123</v>
      </c>
      <c r="I9" s="122">
        <v>7658175</v>
      </c>
      <c r="J9" s="120">
        <v>131</v>
      </c>
      <c r="K9" s="122">
        <v>46294</v>
      </c>
      <c r="L9" s="120">
        <v>2315</v>
      </c>
      <c r="M9" s="122">
        <v>-3326528</v>
      </c>
      <c r="N9" s="164">
        <v>2311</v>
      </c>
      <c r="O9" s="118">
        <v>110</v>
      </c>
      <c r="P9" s="118">
        <v>4</v>
      </c>
      <c r="Q9" s="119">
        <v>2425</v>
      </c>
      <c r="R9" s="92" t="s">
        <v>46</v>
      </c>
      <c r="S9" s="167"/>
    </row>
    <row r="10" spans="1:19" ht="15.75" customHeight="1">
      <c r="A10" s="78" t="s">
        <v>47</v>
      </c>
      <c r="B10" s="120">
        <f>_xlfn.COMPOUNDVALUE(221)</f>
        <v>942</v>
      </c>
      <c r="C10" s="121">
        <v>2322117</v>
      </c>
      <c r="D10" s="120">
        <f>_xlfn.COMPOUNDVALUE(222)</f>
        <v>757</v>
      </c>
      <c r="E10" s="121">
        <v>332233</v>
      </c>
      <c r="F10" s="120">
        <f>_xlfn.COMPOUNDVALUE(223)</f>
        <v>1699</v>
      </c>
      <c r="G10" s="121">
        <v>2654351</v>
      </c>
      <c r="H10" s="120">
        <f>_xlfn.COMPOUNDVALUE(224)</f>
        <v>85</v>
      </c>
      <c r="I10" s="122">
        <v>282950</v>
      </c>
      <c r="J10" s="120">
        <v>99</v>
      </c>
      <c r="K10" s="122">
        <v>26140</v>
      </c>
      <c r="L10" s="120">
        <v>1815</v>
      </c>
      <c r="M10" s="122">
        <v>2397541</v>
      </c>
      <c r="N10" s="164">
        <v>1770</v>
      </c>
      <c r="O10" s="118">
        <v>77</v>
      </c>
      <c r="P10" s="155">
        <v>1</v>
      </c>
      <c r="Q10" s="119">
        <v>1848</v>
      </c>
      <c r="R10" s="92" t="s">
        <v>48</v>
      </c>
      <c r="S10" s="167"/>
    </row>
    <row r="11" spans="1:19" ht="15.75" customHeight="1">
      <c r="A11" s="78" t="s">
        <v>49</v>
      </c>
      <c r="B11" s="120">
        <f>_xlfn.COMPOUNDVALUE(225)</f>
        <v>500</v>
      </c>
      <c r="C11" s="121">
        <v>1702805</v>
      </c>
      <c r="D11" s="120">
        <f>_xlfn.COMPOUNDVALUE(226)</f>
        <v>343</v>
      </c>
      <c r="E11" s="121">
        <v>160226</v>
      </c>
      <c r="F11" s="120">
        <f>_xlfn.COMPOUNDVALUE(227)</f>
        <v>843</v>
      </c>
      <c r="G11" s="121">
        <v>1863030</v>
      </c>
      <c r="H11" s="120">
        <f>_xlfn.COMPOUNDVALUE(228)</f>
        <v>29</v>
      </c>
      <c r="I11" s="122">
        <v>34669</v>
      </c>
      <c r="J11" s="120">
        <v>74</v>
      </c>
      <c r="K11" s="122">
        <v>11290</v>
      </c>
      <c r="L11" s="120">
        <v>895</v>
      </c>
      <c r="M11" s="122">
        <v>1839652</v>
      </c>
      <c r="N11" s="115">
        <v>863</v>
      </c>
      <c r="O11" s="118">
        <v>27</v>
      </c>
      <c r="P11" s="118">
        <v>2</v>
      </c>
      <c r="Q11" s="119">
        <v>892</v>
      </c>
      <c r="R11" s="92" t="s">
        <v>50</v>
      </c>
      <c r="S11" s="167"/>
    </row>
    <row r="12" spans="1:18" ht="15.75" customHeight="1">
      <c r="A12" s="78" t="s">
        <v>51</v>
      </c>
      <c r="B12" s="120">
        <f>_xlfn.COMPOUNDVALUE(229)</f>
        <v>529</v>
      </c>
      <c r="C12" s="121">
        <v>1450732</v>
      </c>
      <c r="D12" s="120">
        <f>_xlfn.COMPOUNDVALUE(230)</f>
        <v>379</v>
      </c>
      <c r="E12" s="121">
        <v>168725</v>
      </c>
      <c r="F12" s="120">
        <f>_xlfn.COMPOUNDVALUE(231)</f>
        <v>908</v>
      </c>
      <c r="G12" s="121">
        <v>1619458</v>
      </c>
      <c r="H12" s="120">
        <f>_xlfn.COMPOUNDVALUE(232)</f>
        <v>37</v>
      </c>
      <c r="I12" s="122">
        <v>117783</v>
      </c>
      <c r="J12" s="120">
        <v>70</v>
      </c>
      <c r="K12" s="122">
        <v>17486</v>
      </c>
      <c r="L12" s="120">
        <v>954</v>
      </c>
      <c r="M12" s="122">
        <v>1519161</v>
      </c>
      <c r="N12" s="115">
        <v>898</v>
      </c>
      <c r="O12" s="118">
        <v>34</v>
      </c>
      <c r="P12" s="118">
        <v>3</v>
      </c>
      <c r="Q12" s="119">
        <v>935</v>
      </c>
      <c r="R12" s="92" t="s">
        <v>52</v>
      </c>
    </row>
    <row r="13" spans="1:18" ht="15.75" customHeight="1">
      <c r="A13" s="80" t="s">
        <v>53</v>
      </c>
      <c r="B13" s="123">
        <v>10129</v>
      </c>
      <c r="C13" s="124">
        <v>41869296</v>
      </c>
      <c r="D13" s="123">
        <v>7625</v>
      </c>
      <c r="E13" s="124">
        <v>3518174</v>
      </c>
      <c r="F13" s="123">
        <v>17754</v>
      </c>
      <c r="G13" s="124">
        <v>45387469</v>
      </c>
      <c r="H13" s="123">
        <v>752</v>
      </c>
      <c r="I13" s="125">
        <v>10229913</v>
      </c>
      <c r="J13" s="123">
        <v>1330</v>
      </c>
      <c r="K13" s="125">
        <v>285106</v>
      </c>
      <c r="L13" s="123">
        <v>18795</v>
      </c>
      <c r="M13" s="125">
        <v>35442663</v>
      </c>
      <c r="N13" s="123">
        <v>18657</v>
      </c>
      <c r="O13" s="126">
        <v>603</v>
      </c>
      <c r="P13" s="126">
        <v>40</v>
      </c>
      <c r="Q13" s="127">
        <v>19300</v>
      </c>
      <c r="R13" s="81" t="s">
        <v>54</v>
      </c>
    </row>
    <row r="14" spans="1:18" ht="15.75" customHeight="1">
      <c r="A14" s="82"/>
      <c r="B14" s="128"/>
      <c r="C14" s="129"/>
      <c r="D14" s="128"/>
      <c r="E14" s="129"/>
      <c r="F14" s="130"/>
      <c r="G14" s="129"/>
      <c r="H14" s="130"/>
      <c r="I14" s="129"/>
      <c r="J14" s="130"/>
      <c r="K14" s="129"/>
      <c r="L14" s="130"/>
      <c r="M14" s="129"/>
      <c r="N14" s="131"/>
      <c r="O14" s="132"/>
      <c r="P14" s="132"/>
      <c r="Q14" s="133"/>
      <c r="R14" s="93" t="s">
        <v>124</v>
      </c>
    </row>
    <row r="15" spans="1:18" ht="15.75" customHeight="1">
      <c r="A15" s="75" t="s">
        <v>55</v>
      </c>
      <c r="B15" s="115">
        <f>_xlfn.COMPOUNDVALUE(233)</f>
        <v>6589</v>
      </c>
      <c r="C15" s="116">
        <v>51549131</v>
      </c>
      <c r="D15" s="115">
        <f>_xlfn.COMPOUNDVALUE(234)</f>
        <v>4366</v>
      </c>
      <c r="E15" s="116">
        <v>2223743</v>
      </c>
      <c r="F15" s="115">
        <f>_xlfn.COMPOUNDVALUE(235)</f>
        <v>10955</v>
      </c>
      <c r="G15" s="116">
        <v>53772874</v>
      </c>
      <c r="H15" s="115">
        <f>_xlfn.COMPOUNDVALUE(236)</f>
        <v>427</v>
      </c>
      <c r="I15" s="117">
        <v>2446340</v>
      </c>
      <c r="J15" s="115">
        <v>848</v>
      </c>
      <c r="K15" s="117">
        <v>144735</v>
      </c>
      <c r="L15" s="115">
        <v>11529</v>
      </c>
      <c r="M15" s="117">
        <v>51471268</v>
      </c>
      <c r="N15" s="134">
        <v>11215</v>
      </c>
      <c r="O15" s="135">
        <v>342</v>
      </c>
      <c r="P15" s="135">
        <v>29</v>
      </c>
      <c r="Q15" s="136">
        <v>11586</v>
      </c>
      <c r="R15" s="76" t="s">
        <v>56</v>
      </c>
    </row>
    <row r="16" spans="1:18" ht="15.75" customHeight="1">
      <c r="A16" s="78" t="s">
        <v>57</v>
      </c>
      <c r="B16" s="120">
        <f>_xlfn.COMPOUNDVALUE(237)</f>
        <v>2163</v>
      </c>
      <c r="C16" s="121">
        <v>10653534</v>
      </c>
      <c r="D16" s="120">
        <f>_xlfn.COMPOUNDVALUE(238)</f>
        <v>1722</v>
      </c>
      <c r="E16" s="121">
        <v>834153</v>
      </c>
      <c r="F16" s="120">
        <f>_xlfn.COMPOUNDVALUE(239)</f>
        <v>3885</v>
      </c>
      <c r="G16" s="121">
        <v>11487687</v>
      </c>
      <c r="H16" s="120">
        <f>_xlfn.COMPOUNDVALUE(240)</f>
        <v>162</v>
      </c>
      <c r="I16" s="122">
        <v>403409</v>
      </c>
      <c r="J16" s="120">
        <v>319</v>
      </c>
      <c r="K16" s="122">
        <v>53087</v>
      </c>
      <c r="L16" s="120">
        <v>4116</v>
      </c>
      <c r="M16" s="122">
        <v>11137365</v>
      </c>
      <c r="N16" s="115">
        <v>4001</v>
      </c>
      <c r="O16" s="118">
        <v>136</v>
      </c>
      <c r="P16" s="118">
        <v>4</v>
      </c>
      <c r="Q16" s="119">
        <v>4141</v>
      </c>
      <c r="R16" s="92" t="s">
        <v>58</v>
      </c>
    </row>
    <row r="17" spans="1:18" ht="15.75" customHeight="1">
      <c r="A17" s="78" t="s">
        <v>59</v>
      </c>
      <c r="B17" s="120">
        <f>_xlfn.COMPOUNDVALUE(241)</f>
        <v>1291</v>
      </c>
      <c r="C17" s="121">
        <v>5816976</v>
      </c>
      <c r="D17" s="120">
        <f>_xlfn.COMPOUNDVALUE(242)</f>
        <v>777</v>
      </c>
      <c r="E17" s="121">
        <v>393704</v>
      </c>
      <c r="F17" s="120">
        <f>_xlfn.COMPOUNDVALUE(243)</f>
        <v>2068</v>
      </c>
      <c r="G17" s="121">
        <v>6210680</v>
      </c>
      <c r="H17" s="120">
        <f>_xlfn.COMPOUNDVALUE(244)</f>
        <v>91</v>
      </c>
      <c r="I17" s="122">
        <v>178921</v>
      </c>
      <c r="J17" s="120">
        <v>218</v>
      </c>
      <c r="K17" s="122">
        <v>49967</v>
      </c>
      <c r="L17" s="120">
        <v>2201</v>
      </c>
      <c r="M17" s="122">
        <v>6081726</v>
      </c>
      <c r="N17" s="115">
        <v>2625</v>
      </c>
      <c r="O17" s="118">
        <v>81</v>
      </c>
      <c r="P17" s="118">
        <v>6</v>
      </c>
      <c r="Q17" s="119">
        <v>2712</v>
      </c>
      <c r="R17" s="92" t="s">
        <v>60</v>
      </c>
    </row>
    <row r="18" spans="1:18" ht="15.75" customHeight="1">
      <c r="A18" s="78" t="s">
        <v>61</v>
      </c>
      <c r="B18" s="120">
        <f>_xlfn.COMPOUNDVALUE(245)</f>
        <v>1787</v>
      </c>
      <c r="C18" s="121">
        <v>7718152</v>
      </c>
      <c r="D18" s="120">
        <f>_xlfn.COMPOUNDVALUE(246)</f>
        <v>1268</v>
      </c>
      <c r="E18" s="121">
        <v>537439</v>
      </c>
      <c r="F18" s="120">
        <f>_xlfn.COMPOUNDVALUE(247)</f>
        <v>3055</v>
      </c>
      <c r="G18" s="121">
        <v>8255591</v>
      </c>
      <c r="H18" s="120">
        <f>_xlfn.COMPOUNDVALUE(248)</f>
        <v>106</v>
      </c>
      <c r="I18" s="122">
        <v>489169</v>
      </c>
      <c r="J18" s="120">
        <v>229</v>
      </c>
      <c r="K18" s="122">
        <v>19418</v>
      </c>
      <c r="L18" s="120">
        <v>3199</v>
      </c>
      <c r="M18" s="122">
        <v>7785840</v>
      </c>
      <c r="N18" s="115">
        <v>3097</v>
      </c>
      <c r="O18" s="118">
        <v>111</v>
      </c>
      <c r="P18" s="118">
        <v>5</v>
      </c>
      <c r="Q18" s="119">
        <v>3213</v>
      </c>
      <c r="R18" s="92" t="s">
        <v>62</v>
      </c>
    </row>
    <row r="19" spans="1:18" ht="15.75" customHeight="1">
      <c r="A19" s="78" t="s">
        <v>63</v>
      </c>
      <c r="B19" s="120">
        <f>_xlfn.COMPOUNDVALUE(249)</f>
        <v>1010</v>
      </c>
      <c r="C19" s="121">
        <v>3666065</v>
      </c>
      <c r="D19" s="120">
        <f>_xlfn.COMPOUNDVALUE(250)</f>
        <v>681</v>
      </c>
      <c r="E19" s="121">
        <v>296180</v>
      </c>
      <c r="F19" s="120">
        <f>_xlfn.COMPOUNDVALUE(251)</f>
        <v>1691</v>
      </c>
      <c r="G19" s="121">
        <v>3962245</v>
      </c>
      <c r="H19" s="120">
        <f>_xlfn.COMPOUNDVALUE(252)</f>
        <v>84</v>
      </c>
      <c r="I19" s="122">
        <v>177260</v>
      </c>
      <c r="J19" s="120">
        <v>163</v>
      </c>
      <c r="K19" s="122">
        <v>11299</v>
      </c>
      <c r="L19" s="120">
        <v>1801</v>
      </c>
      <c r="M19" s="122">
        <v>3796285</v>
      </c>
      <c r="N19" s="115">
        <v>1747</v>
      </c>
      <c r="O19" s="118">
        <v>58</v>
      </c>
      <c r="P19" s="118">
        <v>4</v>
      </c>
      <c r="Q19" s="119">
        <v>1809</v>
      </c>
      <c r="R19" s="92" t="s">
        <v>64</v>
      </c>
    </row>
    <row r="20" spans="1:18" ht="15.75" customHeight="1">
      <c r="A20" s="78" t="s">
        <v>65</v>
      </c>
      <c r="B20" s="120">
        <f>_xlfn.COMPOUNDVALUE(253)</f>
        <v>500</v>
      </c>
      <c r="C20" s="121">
        <v>1734860</v>
      </c>
      <c r="D20" s="120">
        <f>_xlfn.COMPOUNDVALUE(254)</f>
        <v>429</v>
      </c>
      <c r="E20" s="121">
        <v>183756</v>
      </c>
      <c r="F20" s="120">
        <f>_xlfn.COMPOUNDVALUE(255)</f>
        <v>929</v>
      </c>
      <c r="G20" s="121">
        <v>1918617</v>
      </c>
      <c r="H20" s="120">
        <f>_xlfn.COMPOUNDVALUE(256)</f>
        <v>30</v>
      </c>
      <c r="I20" s="122">
        <v>116539</v>
      </c>
      <c r="J20" s="120">
        <v>52</v>
      </c>
      <c r="K20" s="122">
        <v>3126</v>
      </c>
      <c r="L20" s="120">
        <v>972</v>
      </c>
      <c r="M20" s="122">
        <v>1805203</v>
      </c>
      <c r="N20" s="115">
        <v>939</v>
      </c>
      <c r="O20" s="118">
        <v>27</v>
      </c>
      <c r="P20" s="118">
        <v>2</v>
      </c>
      <c r="Q20" s="119">
        <v>968</v>
      </c>
      <c r="R20" s="92" t="s">
        <v>66</v>
      </c>
    </row>
    <row r="21" spans="1:18" ht="15.75" customHeight="1">
      <c r="A21" s="80" t="s">
        <v>125</v>
      </c>
      <c r="B21" s="123">
        <v>13340</v>
      </c>
      <c r="C21" s="124">
        <v>81138718</v>
      </c>
      <c r="D21" s="123">
        <v>9243</v>
      </c>
      <c r="E21" s="124">
        <v>4468976</v>
      </c>
      <c r="F21" s="123">
        <v>22583</v>
      </c>
      <c r="G21" s="124">
        <v>85607693</v>
      </c>
      <c r="H21" s="123">
        <v>900</v>
      </c>
      <c r="I21" s="125">
        <v>3811637</v>
      </c>
      <c r="J21" s="123">
        <v>1829</v>
      </c>
      <c r="K21" s="125">
        <v>281632</v>
      </c>
      <c r="L21" s="123">
        <v>23818</v>
      </c>
      <c r="M21" s="125">
        <v>82077688</v>
      </c>
      <c r="N21" s="123">
        <v>23624</v>
      </c>
      <c r="O21" s="126">
        <v>755</v>
      </c>
      <c r="P21" s="126">
        <v>50</v>
      </c>
      <c r="Q21" s="127">
        <v>24429</v>
      </c>
      <c r="R21" s="81" t="s">
        <v>68</v>
      </c>
    </row>
    <row r="22" spans="1:18" ht="15.75" customHeight="1">
      <c r="A22" s="82"/>
      <c r="B22" s="128"/>
      <c r="C22" s="129"/>
      <c r="D22" s="128"/>
      <c r="E22" s="129"/>
      <c r="F22" s="130"/>
      <c r="G22" s="129"/>
      <c r="H22" s="130"/>
      <c r="I22" s="129"/>
      <c r="J22" s="130"/>
      <c r="K22" s="129"/>
      <c r="L22" s="130"/>
      <c r="M22" s="129"/>
      <c r="N22" s="131"/>
      <c r="O22" s="132"/>
      <c r="P22" s="132"/>
      <c r="Q22" s="133"/>
      <c r="R22" s="93" t="s">
        <v>124</v>
      </c>
    </row>
    <row r="23" spans="1:18" ht="15.75" customHeight="1">
      <c r="A23" s="75" t="s">
        <v>69</v>
      </c>
      <c r="B23" s="115">
        <f>_xlfn.COMPOUNDVALUE(257)</f>
        <v>7949</v>
      </c>
      <c r="C23" s="116">
        <v>42589217</v>
      </c>
      <c r="D23" s="115">
        <f>_xlfn.COMPOUNDVALUE(258)</f>
        <v>5153</v>
      </c>
      <c r="E23" s="116">
        <v>2630123</v>
      </c>
      <c r="F23" s="115">
        <f>_xlfn.COMPOUNDVALUE(259)</f>
        <v>13102</v>
      </c>
      <c r="G23" s="116">
        <v>45219340</v>
      </c>
      <c r="H23" s="115">
        <f>_xlfn.COMPOUNDVALUE(260)</f>
        <v>489</v>
      </c>
      <c r="I23" s="117">
        <v>3324228</v>
      </c>
      <c r="J23" s="115">
        <v>1195</v>
      </c>
      <c r="K23" s="117">
        <v>158371</v>
      </c>
      <c r="L23" s="115">
        <v>13861</v>
      </c>
      <c r="M23" s="117">
        <v>42053483</v>
      </c>
      <c r="N23" s="134">
        <v>14034</v>
      </c>
      <c r="O23" s="135">
        <v>333</v>
      </c>
      <c r="P23" s="135">
        <v>36</v>
      </c>
      <c r="Q23" s="136">
        <v>14403</v>
      </c>
      <c r="R23" s="76" t="s">
        <v>70</v>
      </c>
    </row>
    <row r="24" spans="1:18" ht="15.75" customHeight="1">
      <c r="A24" s="78" t="s">
        <v>71</v>
      </c>
      <c r="B24" s="120">
        <f>_xlfn.COMPOUNDVALUE(261)</f>
        <v>2628</v>
      </c>
      <c r="C24" s="121">
        <v>15671559</v>
      </c>
      <c r="D24" s="120">
        <f>_xlfn.COMPOUNDVALUE(262)</f>
        <v>1859</v>
      </c>
      <c r="E24" s="121">
        <v>1019555</v>
      </c>
      <c r="F24" s="120">
        <f>_xlfn.COMPOUNDVALUE(263)</f>
        <v>4487</v>
      </c>
      <c r="G24" s="121">
        <v>16691114</v>
      </c>
      <c r="H24" s="120">
        <f>_xlfn.COMPOUNDVALUE(264)</f>
        <v>275</v>
      </c>
      <c r="I24" s="122">
        <v>33031867</v>
      </c>
      <c r="J24" s="120">
        <v>354</v>
      </c>
      <c r="K24" s="122">
        <v>51922</v>
      </c>
      <c r="L24" s="120">
        <v>4845</v>
      </c>
      <c r="M24" s="122">
        <v>-16288831</v>
      </c>
      <c r="N24" s="115">
        <v>4732</v>
      </c>
      <c r="O24" s="118">
        <v>126</v>
      </c>
      <c r="P24" s="118">
        <v>3</v>
      </c>
      <c r="Q24" s="119">
        <v>4861</v>
      </c>
      <c r="R24" s="92" t="s">
        <v>72</v>
      </c>
    </row>
    <row r="25" spans="1:18" ht="15.75" customHeight="1">
      <c r="A25" s="78" t="s">
        <v>73</v>
      </c>
      <c r="B25" s="120">
        <f>_xlfn.COMPOUNDVALUE(265)</f>
        <v>1592</v>
      </c>
      <c r="C25" s="121">
        <v>4840451</v>
      </c>
      <c r="D25" s="120">
        <f>_xlfn.COMPOUNDVALUE(266)</f>
        <v>1316</v>
      </c>
      <c r="E25" s="121">
        <v>573235</v>
      </c>
      <c r="F25" s="120">
        <f>_xlfn.COMPOUNDVALUE(267)</f>
        <v>2908</v>
      </c>
      <c r="G25" s="121">
        <v>5413685</v>
      </c>
      <c r="H25" s="120">
        <f>_xlfn.COMPOUNDVALUE(268)</f>
        <v>189</v>
      </c>
      <c r="I25" s="122">
        <v>532317</v>
      </c>
      <c r="J25" s="120">
        <v>275</v>
      </c>
      <c r="K25" s="122">
        <v>30734</v>
      </c>
      <c r="L25" s="120">
        <v>3135</v>
      </c>
      <c r="M25" s="122">
        <v>4912103</v>
      </c>
      <c r="N25" s="115">
        <v>3089</v>
      </c>
      <c r="O25" s="118">
        <v>62</v>
      </c>
      <c r="P25" s="118">
        <v>3</v>
      </c>
      <c r="Q25" s="119">
        <v>3154</v>
      </c>
      <c r="R25" s="92" t="s">
        <v>74</v>
      </c>
    </row>
    <row r="26" spans="1:18" ht="15.75" customHeight="1">
      <c r="A26" s="78" t="s">
        <v>75</v>
      </c>
      <c r="B26" s="120">
        <f>_xlfn.COMPOUNDVALUE(269)</f>
        <v>1034</v>
      </c>
      <c r="C26" s="121">
        <v>3387869</v>
      </c>
      <c r="D26" s="120">
        <f>_xlfn.COMPOUNDVALUE(270)</f>
        <v>1178</v>
      </c>
      <c r="E26" s="121">
        <v>437841</v>
      </c>
      <c r="F26" s="120">
        <f>_xlfn.COMPOUNDVALUE(271)</f>
        <v>2212</v>
      </c>
      <c r="G26" s="121">
        <v>3825710</v>
      </c>
      <c r="H26" s="120">
        <f>_xlfn.COMPOUNDVALUE(272)</f>
        <v>68</v>
      </c>
      <c r="I26" s="122">
        <v>220960</v>
      </c>
      <c r="J26" s="120">
        <v>128</v>
      </c>
      <c r="K26" s="122">
        <v>13575</v>
      </c>
      <c r="L26" s="120">
        <v>2311</v>
      </c>
      <c r="M26" s="122">
        <v>3618325</v>
      </c>
      <c r="N26" s="115">
        <v>2140</v>
      </c>
      <c r="O26" s="118">
        <v>51</v>
      </c>
      <c r="P26" s="118">
        <v>3</v>
      </c>
      <c r="Q26" s="119">
        <v>2194</v>
      </c>
      <c r="R26" s="92" t="s">
        <v>76</v>
      </c>
    </row>
    <row r="27" spans="1:18" ht="15.75" customHeight="1">
      <c r="A27" s="78" t="s">
        <v>77</v>
      </c>
      <c r="B27" s="120">
        <f>_xlfn.COMPOUNDVALUE(273)</f>
        <v>1430</v>
      </c>
      <c r="C27" s="121">
        <v>8328942</v>
      </c>
      <c r="D27" s="120">
        <f>_xlfn.COMPOUNDVALUE(274)</f>
        <v>944</v>
      </c>
      <c r="E27" s="121">
        <v>488351</v>
      </c>
      <c r="F27" s="120">
        <f>_xlfn.COMPOUNDVALUE(275)</f>
        <v>2374</v>
      </c>
      <c r="G27" s="121">
        <v>8817293</v>
      </c>
      <c r="H27" s="120">
        <f>_xlfn.COMPOUNDVALUE(276)</f>
        <v>55</v>
      </c>
      <c r="I27" s="122">
        <v>214948</v>
      </c>
      <c r="J27" s="120">
        <v>215</v>
      </c>
      <c r="K27" s="122">
        <v>37968</v>
      </c>
      <c r="L27" s="120">
        <v>2467</v>
      </c>
      <c r="M27" s="122">
        <v>8640312</v>
      </c>
      <c r="N27" s="115">
        <v>2550</v>
      </c>
      <c r="O27" s="118">
        <v>51</v>
      </c>
      <c r="P27" s="118">
        <v>8</v>
      </c>
      <c r="Q27" s="119">
        <v>2609</v>
      </c>
      <c r="R27" s="92" t="s">
        <v>78</v>
      </c>
    </row>
    <row r="28" spans="1:18" ht="15.75" customHeight="1">
      <c r="A28" s="78" t="s">
        <v>79</v>
      </c>
      <c r="B28" s="120">
        <f>_xlfn.COMPOUNDVALUE(277)</f>
        <v>1344</v>
      </c>
      <c r="C28" s="121">
        <v>5009734</v>
      </c>
      <c r="D28" s="120">
        <f>_xlfn.COMPOUNDVALUE(278)</f>
        <v>956</v>
      </c>
      <c r="E28" s="121">
        <v>477721</v>
      </c>
      <c r="F28" s="120">
        <f>_xlfn.COMPOUNDVALUE(279)</f>
        <v>2300</v>
      </c>
      <c r="G28" s="121">
        <v>5487455</v>
      </c>
      <c r="H28" s="120">
        <f>_xlfn.COMPOUNDVALUE(280)</f>
        <v>95</v>
      </c>
      <c r="I28" s="122">
        <v>701240</v>
      </c>
      <c r="J28" s="120">
        <v>174</v>
      </c>
      <c r="K28" s="122">
        <v>27788</v>
      </c>
      <c r="L28" s="120">
        <v>2432</v>
      </c>
      <c r="M28" s="122">
        <v>4814002</v>
      </c>
      <c r="N28" s="115">
        <v>2443</v>
      </c>
      <c r="O28" s="118">
        <v>87</v>
      </c>
      <c r="P28" s="118">
        <v>4</v>
      </c>
      <c r="Q28" s="119">
        <v>2534</v>
      </c>
      <c r="R28" s="92" t="s">
        <v>80</v>
      </c>
    </row>
    <row r="29" spans="1:18" ht="15.75" customHeight="1">
      <c r="A29" s="78" t="s">
        <v>81</v>
      </c>
      <c r="B29" s="120">
        <f>_xlfn.COMPOUNDVALUE(281)</f>
        <v>742</v>
      </c>
      <c r="C29" s="121">
        <v>2863219</v>
      </c>
      <c r="D29" s="120">
        <f>_xlfn.COMPOUNDVALUE(282)</f>
        <v>604</v>
      </c>
      <c r="E29" s="121">
        <v>268970</v>
      </c>
      <c r="F29" s="120">
        <f>_xlfn.COMPOUNDVALUE(283)</f>
        <v>1346</v>
      </c>
      <c r="G29" s="121">
        <v>3132189</v>
      </c>
      <c r="H29" s="120">
        <f>_xlfn.COMPOUNDVALUE(284)</f>
        <v>34</v>
      </c>
      <c r="I29" s="122">
        <v>58174</v>
      </c>
      <c r="J29" s="120">
        <v>72</v>
      </c>
      <c r="K29" s="122">
        <v>10936</v>
      </c>
      <c r="L29" s="120">
        <v>1393</v>
      </c>
      <c r="M29" s="122">
        <v>3084952</v>
      </c>
      <c r="N29" s="115">
        <v>1340</v>
      </c>
      <c r="O29" s="118">
        <v>29</v>
      </c>
      <c r="P29" s="118">
        <v>2</v>
      </c>
      <c r="Q29" s="119">
        <v>1371</v>
      </c>
      <c r="R29" s="92" t="s">
        <v>82</v>
      </c>
    </row>
    <row r="30" spans="1:18" ht="15.75" customHeight="1">
      <c r="A30" s="78" t="s">
        <v>83</v>
      </c>
      <c r="B30" s="120">
        <f>_xlfn.COMPOUNDVALUE(285)</f>
        <v>1325</v>
      </c>
      <c r="C30" s="121">
        <v>14977465</v>
      </c>
      <c r="D30" s="120">
        <f>_xlfn.COMPOUNDVALUE(286)</f>
        <v>741</v>
      </c>
      <c r="E30" s="121">
        <v>344275</v>
      </c>
      <c r="F30" s="120">
        <f>_xlfn.COMPOUNDVALUE(287)</f>
        <v>2066</v>
      </c>
      <c r="G30" s="121">
        <v>15321740</v>
      </c>
      <c r="H30" s="120">
        <f>_xlfn.COMPOUNDVALUE(288)</f>
        <v>89</v>
      </c>
      <c r="I30" s="122">
        <v>237812</v>
      </c>
      <c r="J30" s="120">
        <v>173</v>
      </c>
      <c r="K30" s="122">
        <v>6364</v>
      </c>
      <c r="L30" s="120">
        <v>2171</v>
      </c>
      <c r="M30" s="122">
        <v>15090291</v>
      </c>
      <c r="N30" s="115">
        <v>2089</v>
      </c>
      <c r="O30" s="118">
        <v>73</v>
      </c>
      <c r="P30" s="118">
        <v>3</v>
      </c>
      <c r="Q30" s="119">
        <v>2165</v>
      </c>
      <c r="R30" s="92" t="s">
        <v>84</v>
      </c>
    </row>
    <row r="31" spans="1:18" ht="15.75" customHeight="1">
      <c r="A31" s="80" t="s">
        <v>126</v>
      </c>
      <c r="B31" s="123">
        <v>18044</v>
      </c>
      <c r="C31" s="124">
        <v>97668455</v>
      </c>
      <c r="D31" s="123">
        <v>12751</v>
      </c>
      <c r="E31" s="124">
        <v>6240071</v>
      </c>
      <c r="F31" s="123">
        <v>30795</v>
      </c>
      <c r="G31" s="124">
        <v>103908526</v>
      </c>
      <c r="H31" s="123">
        <v>1294</v>
      </c>
      <c r="I31" s="125">
        <v>38321548</v>
      </c>
      <c r="J31" s="123">
        <v>2586</v>
      </c>
      <c r="K31" s="125">
        <v>337658</v>
      </c>
      <c r="L31" s="123">
        <v>32615</v>
      </c>
      <c r="M31" s="125">
        <v>65924636</v>
      </c>
      <c r="N31" s="123">
        <v>32417</v>
      </c>
      <c r="O31" s="126">
        <v>812</v>
      </c>
      <c r="P31" s="126">
        <v>62</v>
      </c>
      <c r="Q31" s="127">
        <v>33291</v>
      </c>
      <c r="R31" s="81" t="s">
        <v>86</v>
      </c>
    </row>
    <row r="32" spans="1:18" ht="15.75" customHeight="1">
      <c r="A32" s="82"/>
      <c r="B32" s="128"/>
      <c r="C32" s="129"/>
      <c r="D32" s="128"/>
      <c r="E32" s="129"/>
      <c r="F32" s="130"/>
      <c r="G32" s="129"/>
      <c r="H32" s="130"/>
      <c r="I32" s="129"/>
      <c r="J32" s="130"/>
      <c r="K32" s="129"/>
      <c r="L32" s="130"/>
      <c r="M32" s="129"/>
      <c r="N32" s="131"/>
      <c r="O32" s="132"/>
      <c r="P32" s="132"/>
      <c r="Q32" s="133"/>
      <c r="R32" s="93" t="s">
        <v>124</v>
      </c>
    </row>
    <row r="33" spans="1:18" ht="15.75" customHeight="1">
      <c r="A33" s="75" t="s">
        <v>87</v>
      </c>
      <c r="B33" s="115">
        <f>_xlfn.COMPOUNDVALUE(289)</f>
        <v>4807</v>
      </c>
      <c r="C33" s="116">
        <v>25666023</v>
      </c>
      <c r="D33" s="115">
        <f>_xlfn.COMPOUNDVALUE(290)</f>
        <v>3285</v>
      </c>
      <c r="E33" s="116">
        <v>1638353</v>
      </c>
      <c r="F33" s="115">
        <f>_xlfn.COMPOUNDVALUE(291)</f>
        <v>8092</v>
      </c>
      <c r="G33" s="116">
        <v>27304376</v>
      </c>
      <c r="H33" s="115">
        <f>_xlfn.COMPOUNDVALUE(292)</f>
        <v>238</v>
      </c>
      <c r="I33" s="117">
        <v>1386908</v>
      </c>
      <c r="J33" s="115">
        <v>721</v>
      </c>
      <c r="K33" s="117">
        <v>107871</v>
      </c>
      <c r="L33" s="115">
        <v>8489</v>
      </c>
      <c r="M33" s="117">
        <v>26025339</v>
      </c>
      <c r="N33" s="134">
        <v>8479</v>
      </c>
      <c r="O33" s="135">
        <v>174</v>
      </c>
      <c r="P33" s="135">
        <v>32</v>
      </c>
      <c r="Q33" s="136">
        <v>8685</v>
      </c>
      <c r="R33" s="76" t="s">
        <v>88</v>
      </c>
    </row>
    <row r="34" spans="1:18" ht="15.75" customHeight="1">
      <c r="A34" s="78" t="s">
        <v>89</v>
      </c>
      <c r="B34" s="120">
        <f>_xlfn.COMPOUNDVALUE(293)</f>
        <v>583</v>
      </c>
      <c r="C34" s="121">
        <v>1652110</v>
      </c>
      <c r="D34" s="120">
        <f>_xlfn.COMPOUNDVALUE(294)</f>
        <v>951</v>
      </c>
      <c r="E34" s="121">
        <v>345228</v>
      </c>
      <c r="F34" s="120">
        <f>_xlfn.COMPOUNDVALUE(295)</f>
        <v>1534</v>
      </c>
      <c r="G34" s="121">
        <v>1997337</v>
      </c>
      <c r="H34" s="120">
        <f>_xlfn.COMPOUNDVALUE(296)</f>
        <v>47</v>
      </c>
      <c r="I34" s="122">
        <v>164132</v>
      </c>
      <c r="J34" s="120">
        <v>65</v>
      </c>
      <c r="K34" s="122">
        <v>7031</v>
      </c>
      <c r="L34" s="120">
        <v>1602</v>
      </c>
      <c r="M34" s="122">
        <v>1840237</v>
      </c>
      <c r="N34" s="115">
        <v>1581</v>
      </c>
      <c r="O34" s="118">
        <v>32</v>
      </c>
      <c r="P34" s="118">
        <v>5</v>
      </c>
      <c r="Q34" s="119">
        <v>1618</v>
      </c>
      <c r="R34" s="92" t="s">
        <v>90</v>
      </c>
    </row>
    <row r="35" spans="1:18" ht="15.75" customHeight="1">
      <c r="A35" s="78" t="s">
        <v>91</v>
      </c>
      <c r="B35" s="120">
        <f>_xlfn.COMPOUNDVALUE(297)</f>
        <v>1165</v>
      </c>
      <c r="C35" s="121">
        <v>4245965</v>
      </c>
      <c r="D35" s="120">
        <f>_xlfn.COMPOUNDVALUE(298)</f>
        <v>1192</v>
      </c>
      <c r="E35" s="121">
        <v>506561</v>
      </c>
      <c r="F35" s="120">
        <f>_xlfn.COMPOUNDVALUE(299)</f>
        <v>2357</v>
      </c>
      <c r="G35" s="121">
        <v>4752526</v>
      </c>
      <c r="H35" s="120">
        <f>_xlfn.COMPOUNDVALUE(300)</f>
        <v>67</v>
      </c>
      <c r="I35" s="122">
        <v>654155</v>
      </c>
      <c r="J35" s="120">
        <v>198</v>
      </c>
      <c r="K35" s="122">
        <v>29942</v>
      </c>
      <c r="L35" s="120">
        <v>2479</v>
      </c>
      <c r="M35" s="122">
        <v>4128313</v>
      </c>
      <c r="N35" s="115">
        <v>2480</v>
      </c>
      <c r="O35" s="118">
        <v>59</v>
      </c>
      <c r="P35" s="118">
        <v>1</v>
      </c>
      <c r="Q35" s="119">
        <v>2540</v>
      </c>
      <c r="R35" s="92" t="s">
        <v>92</v>
      </c>
    </row>
    <row r="36" spans="1:18" ht="15.75" customHeight="1">
      <c r="A36" s="78" t="s">
        <v>93</v>
      </c>
      <c r="B36" s="120">
        <f>_xlfn.COMPOUNDVALUE(301)</f>
        <v>933</v>
      </c>
      <c r="C36" s="121">
        <v>2381104</v>
      </c>
      <c r="D36" s="120">
        <f>_xlfn.COMPOUNDVALUE(302)</f>
        <v>1105</v>
      </c>
      <c r="E36" s="121">
        <v>456598</v>
      </c>
      <c r="F36" s="120">
        <f>_xlfn.COMPOUNDVALUE(303)</f>
        <v>2038</v>
      </c>
      <c r="G36" s="121">
        <v>2837702</v>
      </c>
      <c r="H36" s="120">
        <f>_xlfn.COMPOUNDVALUE(304)</f>
        <v>72</v>
      </c>
      <c r="I36" s="122">
        <v>264113</v>
      </c>
      <c r="J36" s="120">
        <v>98</v>
      </c>
      <c r="K36" s="122">
        <v>22357</v>
      </c>
      <c r="L36" s="120">
        <v>2129</v>
      </c>
      <c r="M36" s="122">
        <v>2595945</v>
      </c>
      <c r="N36" s="115">
        <v>2172</v>
      </c>
      <c r="O36" s="118">
        <v>45</v>
      </c>
      <c r="P36" s="118">
        <v>3</v>
      </c>
      <c r="Q36" s="119">
        <v>2220</v>
      </c>
      <c r="R36" s="92" t="s">
        <v>94</v>
      </c>
    </row>
    <row r="37" spans="1:18" ht="15.75" customHeight="1">
      <c r="A37" s="78" t="s">
        <v>95</v>
      </c>
      <c r="B37" s="120">
        <f>_xlfn.COMPOUNDVALUE(305)</f>
        <v>1247</v>
      </c>
      <c r="C37" s="121">
        <v>2964515</v>
      </c>
      <c r="D37" s="120">
        <f>_xlfn.COMPOUNDVALUE(306)</f>
        <v>969</v>
      </c>
      <c r="E37" s="121">
        <v>505741</v>
      </c>
      <c r="F37" s="120">
        <f>_xlfn.COMPOUNDVALUE(307)</f>
        <v>2216</v>
      </c>
      <c r="G37" s="121">
        <v>3470255</v>
      </c>
      <c r="H37" s="120">
        <f>_xlfn.COMPOUNDVALUE(308)</f>
        <v>74</v>
      </c>
      <c r="I37" s="122">
        <v>237195</v>
      </c>
      <c r="J37" s="120">
        <v>168</v>
      </c>
      <c r="K37" s="122">
        <v>38947</v>
      </c>
      <c r="L37" s="120">
        <v>2329</v>
      </c>
      <c r="M37" s="122">
        <v>3272006</v>
      </c>
      <c r="N37" s="115">
        <v>2328</v>
      </c>
      <c r="O37" s="118">
        <v>55</v>
      </c>
      <c r="P37" s="118">
        <v>5</v>
      </c>
      <c r="Q37" s="119">
        <v>2388</v>
      </c>
      <c r="R37" s="92" t="s">
        <v>96</v>
      </c>
    </row>
    <row r="38" spans="1:18" ht="15.75" customHeight="1">
      <c r="A38" s="78" t="s">
        <v>97</v>
      </c>
      <c r="B38" s="120">
        <f>_xlfn.COMPOUNDVALUE(309)</f>
        <v>670</v>
      </c>
      <c r="C38" s="121">
        <v>2441700</v>
      </c>
      <c r="D38" s="120">
        <f>_xlfn.COMPOUNDVALUE(310)</f>
        <v>841</v>
      </c>
      <c r="E38" s="121">
        <v>353846</v>
      </c>
      <c r="F38" s="120">
        <f>_xlfn.COMPOUNDVALUE(311)</f>
        <v>1511</v>
      </c>
      <c r="G38" s="121">
        <v>2795545</v>
      </c>
      <c r="H38" s="120">
        <f>_xlfn.COMPOUNDVALUE(312)</f>
        <v>43</v>
      </c>
      <c r="I38" s="122">
        <v>161735</v>
      </c>
      <c r="J38" s="120">
        <v>106</v>
      </c>
      <c r="K38" s="122">
        <v>22800</v>
      </c>
      <c r="L38" s="120">
        <v>1585</v>
      </c>
      <c r="M38" s="122">
        <v>2656610</v>
      </c>
      <c r="N38" s="115">
        <v>1599</v>
      </c>
      <c r="O38" s="118">
        <v>31</v>
      </c>
      <c r="P38" s="234" t="s">
        <v>175</v>
      </c>
      <c r="Q38" s="119">
        <v>1630</v>
      </c>
      <c r="R38" s="92" t="s">
        <v>98</v>
      </c>
    </row>
    <row r="39" spans="1:18" ht="15.75" customHeight="1">
      <c r="A39" s="80" t="s">
        <v>127</v>
      </c>
      <c r="B39" s="123">
        <v>9405</v>
      </c>
      <c r="C39" s="124">
        <v>39351416</v>
      </c>
      <c r="D39" s="123">
        <v>8343</v>
      </c>
      <c r="E39" s="124">
        <v>3806325</v>
      </c>
      <c r="F39" s="123">
        <v>17748</v>
      </c>
      <c r="G39" s="124">
        <v>43157741</v>
      </c>
      <c r="H39" s="123">
        <v>541</v>
      </c>
      <c r="I39" s="125">
        <v>2868239</v>
      </c>
      <c r="J39" s="123">
        <v>1356</v>
      </c>
      <c r="K39" s="125">
        <v>228948</v>
      </c>
      <c r="L39" s="123">
        <v>18613</v>
      </c>
      <c r="M39" s="125">
        <v>40518450</v>
      </c>
      <c r="N39" s="123">
        <v>18639</v>
      </c>
      <c r="O39" s="126">
        <v>396</v>
      </c>
      <c r="P39" s="126">
        <v>46</v>
      </c>
      <c r="Q39" s="127">
        <v>19081</v>
      </c>
      <c r="R39" s="81" t="s">
        <v>100</v>
      </c>
    </row>
    <row r="40" spans="1:18" ht="15.75" customHeight="1" thickBot="1">
      <c r="A40" s="84"/>
      <c r="B40" s="137"/>
      <c r="C40" s="138"/>
      <c r="D40" s="137"/>
      <c r="E40" s="138"/>
      <c r="F40" s="139"/>
      <c r="G40" s="138"/>
      <c r="H40" s="139"/>
      <c r="I40" s="138"/>
      <c r="J40" s="139"/>
      <c r="K40" s="138"/>
      <c r="L40" s="139"/>
      <c r="M40" s="138"/>
      <c r="N40" s="131"/>
      <c r="O40" s="132"/>
      <c r="P40" s="132"/>
      <c r="Q40" s="133"/>
      <c r="R40" s="171"/>
    </row>
    <row r="41" spans="1:18" ht="15.75" customHeight="1" thickBot="1" thickTop="1">
      <c r="A41" s="87" t="s">
        <v>102</v>
      </c>
      <c r="B41" s="140">
        <v>50918</v>
      </c>
      <c r="C41" s="141">
        <v>260027884</v>
      </c>
      <c r="D41" s="140">
        <v>37962</v>
      </c>
      <c r="E41" s="141">
        <v>18033545</v>
      </c>
      <c r="F41" s="140">
        <v>88880</v>
      </c>
      <c r="G41" s="141">
        <v>278061429</v>
      </c>
      <c r="H41" s="140">
        <v>3487</v>
      </c>
      <c r="I41" s="142">
        <v>55231337</v>
      </c>
      <c r="J41" s="140">
        <v>7101</v>
      </c>
      <c r="K41" s="142">
        <v>1133344</v>
      </c>
      <c r="L41" s="140">
        <v>93841</v>
      </c>
      <c r="M41" s="142">
        <v>223963437</v>
      </c>
      <c r="N41" s="143">
        <v>93337</v>
      </c>
      <c r="O41" s="144">
        <v>2566</v>
      </c>
      <c r="P41" s="144">
        <v>198</v>
      </c>
      <c r="Q41" s="145">
        <v>96101</v>
      </c>
      <c r="R41" s="94" t="s">
        <v>102</v>
      </c>
    </row>
    <row r="42" spans="1:10" ht="13.5">
      <c r="A42" s="213" t="s">
        <v>174</v>
      </c>
      <c r="B42" s="213"/>
      <c r="C42" s="213"/>
      <c r="D42" s="213"/>
      <c r="E42" s="213"/>
      <c r="F42" s="213"/>
      <c r="G42" s="213"/>
      <c r="H42" s="213"/>
      <c r="I42" s="213"/>
      <c r="J42" s="213"/>
    </row>
  </sheetData>
  <sheetProtection/>
  <mergeCells count="16">
    <mergeCell ref="A2:I2"/>
    <mergeCell ref="A3:A5"/>
    <mergeCell ref="B3:G3"/>
    <mergeCell ref="H3:I4"/>
    <mergeCell ref="J3:K4"/>
    <mergeCell ref="L3:M4"/>
    <mergeCell ref="A42:J42"/>
    <mergeCell ref="N3:Q3"/>
    <mergeCell ref="R3:R5"/>
    <mergeCell ref="B4:C4"/>
    <mergeCell ref="D4:E4"/>
    <mergeCell ref="F4:G4"/>
    <mergeCell ref="N4:N5"/>
    <mergeCell ref="O4:O5"/>
    <mergeCell ref="P4:P5"/>
    <mergeCell ref="Q4:Q5"/>
  </mergeCells>
  <printOptions horizontalCentered="1"/>
  <pageMargins left="0.7086614173228347" right="0.7086614173228347" top="0.7480314960629921" bottom="0.7480314960629921" header="0.31496062992125984" footer="0.31496062992125984"/>
  <pageSetup fitToHeight="0" horizontalDpi="600" verticalDpi="600" orientation="landscape" paperSize="9" scale="66" r:id="rId1"/>
  <headerFooter>
    <oddFooter>&amp;R高松国税局
消費税
(H27)</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国税庁</dc:creator>
  <cp:keywords/>
  <dc:description/>
  <cp:lastModifiedBy>国税庁</cp:lastModifiedBy>
  <cp:lastPrinted>2017-06-06T08:03:50Z</cp:lastPrinted>
  <dcterms:created xsi:type="dcterms:W3CDTF">2003-07-09T01:05:10Z</dcterms:created>
  <dcterms:modified xsi:type="dcterms:W3CDTF">2017-06-06T08:04:27Z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説明">
    <vt:lpwstr/>
  </property>
  <property fmtid="{D5CDD505-2E9C-101B-9397-08002B2CF9AE}" pid="3" name="ContentType">
    <vt:lpwstr>ドキュメント</vt:lpwstr>
  </property>
</Properties>
</file>