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830"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'(4)税務署別(個人事業者）'!$A$1:$N$72</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<sst xmlns="http://schemas.openxmlformats.org/spreadsheetml/2006/main" count="546" uniqueCount="250">
  <si>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</si>
  <si>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</si>
  <si>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</si>
  <si>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</si>
  <si>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</si>
  <si>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</si>
  <si>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</si>
  <si>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</si>
  <si>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</si>
  <si>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</si>
  <si>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</si>
  <si>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</si>
  <si>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</si>
  <si>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</si>
  <si>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</si>
  <si>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</si>
  <si>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</si>
  <si>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</si>
  <si>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</si>
  <si>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</si>
  <si>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</si>
  <si>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</si>
  <si>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</si>
  <si>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</si>
  <si>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</si>
  <si>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</si>
  <si>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</si>
  <si>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</si>
  <si>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</si>
  <si>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</si>
  <si>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</si>
  <si>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</si>
  <si>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</si>
  <si>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</si>
  <si>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</si>
  <si>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</si>
  <si>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</si>
  <si>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</si>
  <si>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</si>
  <si>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</si>
  <si>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</si>
  <si>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</si>
  <si>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</si>
  <si>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</si>
  <si>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</si>
  <si>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</si>
  <si>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</si>
  <si>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</si>
  <si>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</si>
  <si>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</si>
  <si>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</si>
  <si>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</si>
  <si>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</si>
  <si>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</si>
  <si>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</si>
  <si>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</si>
  <si>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</si>
  <si>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</si>
  <si>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</si>
  <si>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</si>
  <si>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</si>
  <si>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</si>
  <si>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</si>
  <si>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</si>
  <si>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</si>
  <si>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</si>
  <si>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</si>
  <si>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</si>
  <si>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</si>
  <si>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</si>
  <si>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</si>
  <si>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</si>
  <si>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</si>
  <si>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</si>
  <si>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</si>
  <si>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</si>
  <si>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　ロ　法　　　人</t>
  </si>
  <si>
    <t>税務署名</t>
  </si>
  <si>
    <t>青森</t>
  </si>
  <si>
    <t>弘前</t>
  </si>
  <si>
    <t>八戸</t>
  </si>
  <si>
    <t>黒石</t>
  </si>
  <si>
    <t>五所川原</t>
  </si>
  <si>
    <t>十和田</t>
  </si>
  <si>
    <t>　ハ　個人事業者と法人の合計</t>
  </si>
  <si>
    <t>課　税　事　業　者　等　届　出　件　数</t>
  </si>
  <si>
    <t>課税事業者
届出</t>
  </si>
  <si>
    <t>課税事業者
選択届出</t>
  </si>
  <si>
    <t>新設法人に
該当する旨
の届出</t>
  </si>
  <si>
    <t>合　　　計</t>
  </si>
  <si>
    <t>岩手県計</t>
  </si>
  <si>
    <t>件数</t>
  </si>
  <si>
    <t>税　　　額
(①－②＋③)</t>
  </si>
  <si>
    <t>税　　額
(①－②＋③)</t>
  </si>
  <si>
    <t>総　計</t>
  </si>
  <si>
    <t>青森県計</t>
  </si>
  <si>
    <t>青森</t>
  </si>
  <si>
    <t>弘前</t>
  </si>
  <si>
    <t>八戸</t>
  </si>
  <si>
    <t>黒石</t>
  </si>
  <si>
    <t>五所川原</t>
  </si>
  <si>
    <t>十和田</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</si>
  <si>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</si>
  <si>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</si>
  <si>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</si>
  <si>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</si>
  <si>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</si>
  <si>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</si>
  <si>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</si>
  <si>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</si>
  <si>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</si>
  <si>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</si>
  <si>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</si>
  <si>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</si>
  <si>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</si>
  <si>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</si>
  <si>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</si>
  <si>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</si>
  <si>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</si>
  <si>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</si>
  <si>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</si>
  <si>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</si>
  <si>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</si>
  <si>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</si>
  <si>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</si>
  <si>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</si>
  <si>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</si>
  <si>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</si>
  <si>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</si>
  <si>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</si>
  <si>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</si>
  <si>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</si>
  <si>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</si>
  <si>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</si>
  <si>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</si>
  <si>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</si>
  <si>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</si>
  <si>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</si>
  <si>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</si>
  <si>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</si>
  <si>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</si>
  <si>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
  </si>
  <si>
    <t>福島</t>
  </si>
  <si>
    <t>会津若松</t>
  </si>
  <si>
    <t>郡山</t>
  </si>
  <si>
    <t>白河</t>
  </si>
  <si>
    <t>須賀川</t>
  </si>
  <si>
    <t>喜多方</t>
  </si>
  <si>
    <t>相馬</t>
  </si>
  <si>
    <t>二本松</t>
  </si>
  <si>
    <t>田島</t>
  </si>
  <si>
    <t>福島県計</t>
  </si>
  <si>
    <t>区　　　分</t>
  </si>
  <si>
    <t>件　　　数</t>
  </si>
  <si>
    <t>税　　　額</t>
  </si>
  <si>
    <t>件</t>
  </si>
  <si>
    <t>千円</t>
  </si>
  <si>
    <t>加算税</t>
  </si>
  <si>
    <t>(2)　課税状況の累年比較</t>
  </si>
  <si>
    <t>納税申告計</t>
  </si>
  <si>
    <t>(3)　課税事業者等届出件数</t>
  </si>
  <si>
    <t>課税事業者届出書</t>
  </si>
  <si>
    <t>課税事業者選択届出書</t>
  </si>
  <si>
    <t>新設法人に該当する旨の届出書</t>
  </si>
  <si>
    <t>合計</t>
  </si>
  <si>
    <t>（注）　納税義務者でなくなった旨の届出書又は課税事業者選択不適用届出書を提出した者は含まない。</t>
  </si>
  <si>
    <t>調査対象等：</t>
  </si>
  <si>
    <t>(1)　課税状況</t>
  </si>
  <si>
    <t>個　人　事　業　者</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</si>
  <si>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</si>
  <si>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</si>
  <si>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</si>
  <si>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</si>
  <si>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</si>
  <si>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</si>
  <si>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</si>
  <si>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</si>
  <si>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法　　　　　　　人</t>
  </si>
  <si>
    <t>合　　　　　　　計</t>
  </si>
  <si>
    <t>件　　数</t>
  </si>
  <si>
    <t>税　　額</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</si>
  <si>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</si>
  <si>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</si>
  <si>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</si>
  <si>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</si>
  <si>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</si>
  <si>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</si>
  <si>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</si>
  <si>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</si>
  <si>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</si>
  <si>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</si>
  <si>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</si>
  <si>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</si>
  <si>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</si>
  <si>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</si>
  <si>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</si>
  <si>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</si>
  <si>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</si>
  <si>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</si>
  <si>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</si>
  <si>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</si>
  <si>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</si>
  <si>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</si>
  <si>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</si>
  <si>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</si>
  <si>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</si>
  <si>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</si>
  <si>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</si>
  <si>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</si>
  <si>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</si>
  <si>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</si>
  <si>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</si>
  <si>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</si>
  <si>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</si>
  <si>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</si>
  <si>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</si>
  <si>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</si>
  <si>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</si>
  <si>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</si>
  <si>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</si>
  <si>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</si>
  <si>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</si>
  <si>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</si>
  <si>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</si>
  <si>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</si>
  <si>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</si>
  <si>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</si>
  <si>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</si>
  <si>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</si>
  <si>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</si>
  <si>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</si>
  <si>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</si>
  <si>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平成27年度</t>
  </si>
  <si>
    <t>７　消　費　税</t>
  </si>
  <si>
    <t>（注）　この表は、「(1)　課税状況」の現年分及び既往年分を税務署別に示したものである（加算税を除く。）。</t>
  </si>
  <si>
    <t>（注）　この表は、「(1)　課税状況」の現年分及び既往年分並びに「(3)　課税事業者等届出件数」を税務署別に示したものである（加算税を除く。）。</t>
  </si>
  <si>
    <t>平成28年度</t>
  </si>
  <si>
    <t>実件</t>
  </si>
  <si>
    <t>(4)　税務署別課税状況等</t>
  </si>
  <si>
    <t>(4)　税務署別課税状況等（続）</t>
  </si>
  <si>
    <t>平成29年度</t>
  </si>
  <si>
    <t>平成30年度</t>
  </si>
  <si>
    <t>令和元年度</t>
  </si>
  <si>
    <t>調査対象等：令和元年度末（令和２年３月31日現在）の届出件数を示している。</t>
  </si>
  <si>
    <t>（注）　税関分は含まない。</t>
  </si>
  <si>
    <t xml:space="preserve"> 「現年分」は､平成31年４月１日から令和２年３月31日までに終了した課税期間に係る消費税の申告及び処理（更正、決定等）による課税事績(令和２年６月30日までのもの。国・地方公共団体等については令和２年９月30日までのもの。)に基づいて作成した。</t>
  </si>
  <si>
    <t xml:space="preserve"> 「既往年分」は、平成31年３月31日以前に終了した課税期間に係る消費税の申告及び処理（更正、決定等）による課税事績（令和元年７月１日から令和２年６月30日までのもの。国・地方公共団体等については令和元年10月１日から令和２年６月30日までのもの。）に基づいて作成した。</t>
  </si>
  <si>
    <t>個　人　事　業　者</t>
  </si>
  <si>
    <t>法　　　　　人</t>
  </si>
  <si>
    <t>合　　　　　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</si>
</sst>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0">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b/>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double"/>
      <bottom style="mediu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style="hair">
        <color indexed="55"/>
      </top>
      <bottom style="thin">
        <color theme="0" tint="-0.3499799966812134"/>
      </bottom>
    </border>
    <border>
      <left style="thin"/>
      <right style="medium"/>
      <top/>
      <bottom style="thin">
        <color indexed="23"/>
      </bottom>
    </border>
    <border>
      <left style="thin"/>
      <right style="medium"/>
      <top style="hair">
        <color indexed="55"/>
      </top>
      <bottom style="thin">
        <color theme="0" tint="-0.3499799966812134"/>
      </bottom>
    </border>
    <border>
      <left style="medium"/>
      <right/>
      <top style="hair">
        <color indexed="55"/>
      </top>
      <bottom style="thin">
        <color theme="0" tint="-0.3499799966812134"/>
      </bottom>
    </border>
    <border>
      <left style="medium"/>
      <right/>
      <top/>
      <bottom/>
    </border>
    <border>
      <left style="thin"/>
      <right style="medium"/>
      <top/>
      <bottom/>
    </border>
    <border>
      <left style="medium"/>
      <right/>
      <top style="thin">
        <color theme="0" tint="-0.3499799966812134"/>
      </top>
      <bottom style="hair">
        <color indexed="55"/>
      </bottom>
    </border>
    <border>
      <left style="thin"/>
      <right style="medium"/>
      <top style="thin">
        <color theme="0" tint="-0.3499799966812134"/>
      </top>
      <bottom style="hair">
        <color indexed="55"/>
      </bottom>
    </border>
    <border>
      <left style="medium"/>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indexed="55"/>
      </top>
      <bottom style="thin">
        <color theme="0" tint="-0.3499799966812134"/>
      </bottom>
    </border>
    <border>
      <left style="thin"/>
      <right style="medium"/>
      <top style="thin">
        <color indexed="55"/>
      </top>
      <bottom style="thin">
        <color theme="0" tint="-0.3499799966812134"/>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thin">
        <color indexed="55"/>
      </top>
      <bottom style="thin">
        <color theme="0" tint="-0.3499799966812134"/>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bottom style="medium"/>
    </border>
    <border>
      <left style="hair"/>
      <right/>
      <top/>
      <bottom style="medium"/>
    </border>
    <border>
      <left style="thin"/>
      <right style="hair"/>
      <top style="hair">
        <color indexed="55"/>
      </top>
      <bottom style="thin">
        <color theme="0" tint="-0.3499799966812134"/>
      </bottom>
    </border>
    <border>
      <left style="hair"/>
      <right style="thin"/>
      <top style="hair">
        <color indexed="55"/>
      </top>
      <bottom style="thin">
        <color theme="0" tint="-0.3499799966812134"/>
      </bottom>
    </border>
    <border>
      <left style="hair"/>
      <right/>
      <top style="hair">
        <color indexed="55"/>
      </top>
      <bottom style="thin">
        <color theme="0" tint="-0.3499799966812134"/>
      </bottom>
    </border>
    <border>
      <left style="thin"/>
      <right/>
      <top/>
      <bottom/>
    </border>
    <border>
      <left style="hair"/>
      <right style="thin"/>
      <top/>
      <bottom/>
    </border>
    <border>
      <left style="thin"/>
      <right style="hair"/>
      <top/>
      <bottom/>
    </border>
    <border>
      <left style="thin"/>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top style="thin">
        <color theme="0" tint="-0.3499799966812134"/>
      </top>
      <bottom style="hair">
        <color indexed="55"/>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top/>
      <bottom style="double"/>
    </border>
    <border>
      <left style="hair"/>
      <right style="thin"/>
      <top/>
      <bottom style="double"/>
    </border>
    <border>
      <left style="thin"/>
      <right style="hair"/>
      <top/>
      <bottom style="double"/>
    </border>
    <border>
      <left/>
      <right/>
      <top style="medium"/>
      <bottom/>
    </border>
    <border>
      <left>
        <color indexed="63"/>
      </left>
      <right/>
      <top style="thin">
        <color indexed="55"/>
      </top>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hair"/>
      <right style="thin"/>
      <top style="thin">
        <color indexed="55"/>
      </top>
      <bottom style="thin">
        <color indexed="55"/>
      </bottom>
    </border>
    <border>
      <left>
        <color indexed="63"/>
      </left>
      <right style="thin"/>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color indexed="63"/>
      </left>
      <right style="hair"/>
      <top style="thin">
        <color indexed="55"/>
      </top>
      <bottom style="thin">
        <color indexed="55"/>
      </bottom>
    </border>
    <border>
      <left style="medium"/>
      <right style="thin"/>
      <top/>
      <bottom style="medium"/>
    </border>
    <border>
      <left style="thin"/>
      <right style="thin"/>
      <top/>
      <bottom style="medium"/>
    </border>
    <border>
      <left style="thin"/>
      <right/>
      <top/>
      <bottom style="medium"/>
    </border>
    <border>
      <left style="hair"/>
      <right style="hair"/>
      <top style="hair">
        <color indexed="55"/>
      </top>
      <bottom style="thin">
        <color theme="0" tint="-0.3499799966812134"/>
      </bottom>
    </border>
    <border>
      <left style="hair"/>
      <right style="hair"/>
      <top/>
      <bottom/>
    </border>
    <border>
      <left style="hair"/>
      <right/>
      <top/>
      <bottom/>
    </border>
    <border>
      <left style="hair"/>
      <right style="hair"/>
      <top style="thin">
        <color theme="0" tint="-0.3499799966812134"/>
      </top>
      <bottom style="hair">
        <color indexed="55"/>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style="hair"/>
      <top/>
      <bottom style="thin">
        <color indexed="55"/>
      </bottom>
    </border>
    <border>
      <left style="hair"/>
      <right style="hair"/>
      <top/>
      <bottom style="thin">
        <color indexed="55"/>
      </bottom>
    </border>
    <border>
      <left style="hair"/>
      <right/>
      <top/>
      <bottom style="thin">
        <color indexed="55"/>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style="medium"/>
      <right/>
      <top style="medium"/>
      <bottom/>
    </border>
    <border>
      <left/>
      <right style="thin"/>
      <top style="medium"/>
      <bottom/>
    </border>
    <border>
      <left/>
      <right style="thin"/>
      <top/>
      <bottom/>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thin"/>
    </border>
    <border>
      <left/>
      <right style="thin"/>
      <top/>
      <bottom style="medium"/>
    </border>
    <border>
      <left style="thin"/>
      <right style="thin"/>
      <top style="medium"/>
      <bottom style="thin"/>
    </border>
    <border>
      <left/>
      <right style="medium"/>
      <top style="medium"/>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251">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3" fillId="36" borderId="26"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7" xfId="60" applyFont="1" applyBorder="1" applyAlignment="1">
      <alignment horizontal="center" vertical="center" wrapText="1"/>
      <protection/>
    </xf>
    <xf numFmtId="0" fontId="5" fillId="34" borderId="28"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8" fillId="0" borderId="29" xfId="60" applyFont="1" applyBorder="1" applyAlignment="1">
      <alignment horizontal="center" vertical="center"/>
      <protection/>
    </xf>
    <xf numFmtId="0" fontId="3" fillId="0" borderId="30" xfId="60" applyFont="1" applyBorder="1" applyAlignment="1">
      <alignment horizontal="distributed" vertical="center" indent="1"/>
      <protection/>
    </xf>
    <xf numFmtId="0" fontId="3" fillId="0" borderId="27" xfId="60" applyFont="1" applyBorder="1" applyAlignment="1">
      <alignment horizontal="distributed" vertical="center" indent="1"/>
      <protection/>
    </xf>
    <xf numFmtId="0" fontId="3" fillId="0" borderId="31" xfId="60" applyFont="1" applyBorder="1" applyAlignment="1">
      <alignment horizontal="centerContinuous" vertical="center" wrapText="1"/>
      <protection/>
    </xf>
    <xf numFmtId="0" fontId="12" fillId="0" borderId="0" xfId="60" applyFont="1">
      <alignment/>
      <protection/>
    </xf>
    <xf numFmtId="0" fontId="3" fillId="0" borderId="31" xfId="60" applyFont="1" applyBorder="1" applyAlignment="1">
      <alignment horizontal="center" vertical="center"/>
      <protection/>
    </xf>
    <xf numFmtId="0" fontId="3" fillId="0" borderId="27" xfId="60" applyFont="1" applyBorder="1" applyAlignment="1">
      <alignment horizontal="center" vertical="center"/>
      <protection/>
    </xf>
    <xf numFmtId="0" fontId="13"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2"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35" borderId="32" xfId="60" applyFont="1" applyFill="1" applyBorder="1" applyAlignment="1">
      <alignment horizontal="right" vertical="top"/>
      <protection/>
    </xf>
    <xf numFmtId="0" fontId="3" fillId="0" borderId="33" xfId="60" applyFont="1" applyBorder="1" applyAlignment="1">
      <alignment horizontal="distributed" vertical="center"/>
      <protection/>
    </xf>
    <xf numFmtId="3" fontId="3" fillId="35" borderId="33" xfId="60" applyNumberFormat="1" applyFont="1" applyFill="1" applyBorder="1" applyAlignment="1">
      <alignment horizontal="right" vertical="center"/>
      <protection/>
    </xf>
    <xf numFmtId="3" fontId="3" fillId="35" borderId="34" xfId="60" applyNumberFormat="1" applyFont="1" applyFill="1" applyBorder="1" applyAlignment="1">
      <alignment horizontal="right" vertical="center"/>
      <protection/>
    </xf>
    <xf numFmtId="0" fontId="3" fillId="0" borderId="35" xfId="60" applyFont="1" applyBorder="1" applyAlignment="1">
      <alignment horizontal="distributed" vertical="center"/>
      <protection/>
    </xf>
    <xf numFmtId="0" fontId="8" fillId="0" borderId="35" xfId="60" applyFont="1" applyBorder="1" applyAlignment="1">
      <alignment horizontal="distributed" vertical="center"/>
      <protection/>
    </xf>
    <xf numFmtId="0" fontId="8" fillId="0" borderId="0" xfId="60" applyFont="1" applyAlignment="1">
      <alignment horizontal="left" vertical="top"/>
      <protection/>
    </xf>
    <xf numFmtId="0" fontId="3" fillId="0" borderId="36" xfId="60" applyFont="1" applyBorder="1" applyAlignment="1">
      <alignment horizontal="distributed" vertical="center"/>
      <protection/>
    </xf>
    <xf numFmtId="0" fontId="3" fillId="0" borderId="37"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37" xfId="60" applyNumberFormat="1" applyFont="1" applyFill="1" applyBorder="1" applyAlignment="1">
      <alignment horizontal="right" vertical="center"/>
      <protection/>
    </xf>
    <xf numFmtId="3" fontId="3" fillId="35" borderId="38" xfId="60" applyNumberFormat="1" applyFont="1" applyFill="1" applyBorder="1" applyAlignment="1">
      <alignment horizontal="right" vertical="center"/>
      <protection/>
    </xf>
    <xf numFmtId="0" fontId="3" fillId="0" borderId="39" xfId="60" applyFont="1" applyBorder="1" applyAlignment="1">
      <alignment horizontal="center" vertical="center"/>
      <protection/>
    </xf>
    <xf numFmtId="0" fontId="3" fillId="0" borderId="40"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2" xfId="60" applyFont="1" applyFill="1" applyBorder="1" applyAlignment="1">
      <alignment horizontal="right"/>
      <protection/>
    </xf>
    <xf numFmtId="0" fontId="3" fillId="0" borderId="0" xfId="60" applyFont="1" applyAlignment="1">
      <alignment horizontal="left"/>
      <protection/>
    </xf>
    <xf numFmtId="3" fontId="3" fillId="34" borderId="41"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2"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43" xfId="60" applyNumberFormat="1" applyFont="1" applyFill="1" applyBorder="1" applyAlignment="1">
      <alignment horizontal="right" vertical="center"/>
      <protection/>
    </xf>
    <xf numFmtId="0" fontId="3" fillId="0" borderId="37" xfId="60" applyFont="1" applyBorder="1" applyAlignment="1">
      <alignment horizontal="distributed" vertical="center"/>
      <protection/>
    </xf>
    <xf numFmtId="3" fontId="3" fillId="34" borderId="44" xfId="60" applyNumberFormat="1" applyFont="1" applyFill="1" applyBorder="1" applyAlignment="1">
      <alignment horizontal="right" vertical="center"/>
      <protection/>
    </xf>
    <xf numFmtId="0" fontId="3" fillId="0" borderId="45"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46" xfId="60" applyFont="1" applyBorder="1" applyAlignment="1">
      <alignment horizontal="distributed" vertical="center"/>
      <protection/>
    </xf>
    <xf numFmtId="0" fontId="3" fillId="0" borderId="47" xfId="60" applyFont="1" applyBorder="1" applyAlignment="1">
      <alignment horizontal="distributed" vertical="center"/>
      <protection/>
    </xf>
    <xf numFmtId="0" fontId="3" fillId="0" borderId="48" xfId="60" applyFont="1" applyBorder="1" applyAlignment="1">
      <alignment horizontal="center" vertical="center"/>
      <protection/>
    </xf>
    <xf numFmtId="0" fontId="3" fillId="0" borderId="49" xfId="60" applyFont="1" applyBorder="1" applyAlignment="1">
      <alignment horizontal="distributed" vertical="center" indent="1"/>
      <protection/>
    </xf>
    <xf numFmtId="0" fontId="5" fillId="34" borderId="50" xfId="60" applyFont="1" applyFill="1" applyBorder="1" applyAlignment="1">
      <alignment horizontal="right"/>
      <protection/>
    </xf>
    <xf numFmtId="0" fontId="5" fillId="34" borderId="51" xfId="60" applyFont="1" applyFill="1" applyBorder="1" applyAlignment="1">
      <alignment horizontal="right"/>
      <protection/>
    </xf>
    <xf numFmtId="0" fontId="5" fillId="34" borderId="52"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8" fillId="36" borderId="53" xfId="60" applyFont="1" applyFill="1" applyBorder="1" applyAlignment="1">
      <alignment horizontal="distributed" vertical="center"/>
      <protection/>
    </xf>
    <xf numFmtId="0" fontId="10" fillId="0" borderId="54" xfId="60" applyFont="1" applyFill="1" applyBorder="1" applyAlignment="1">
      <alignment horizontal="center" vertical="center"/>
      <protection/>
    </xf>
    <xf numFmtId="0" fontId="8" fillId="36" borderId="55" xfId="60" applyFont="1" applyFill="1" applyBorder="1" applyAlignment="1">
      <alignment horizontal="distributed" vertical="center"/>
      <protection/>
    </xf>
    <xf numFmtId="0" fontId="8" fillId="36" borderId="56" xfId="60" applyFont="1" applyFill="1" applyBorder="1" applyAlignment="1">
      <alignment horizontal="distributed" vertical="center"/>
      <protection/>
    </xf>
    <xf numFmtId="0" fontId="10" fillId="0" borderId="57" xfId="60" applyFont="1" applyFill="1" applyBorder="1" applyAlignment="1">
      <alignment horizontal="distributed" vertical="center"/>
      <protection/>
    </xf>
    <xf numFmtId="0" fontId="10" fillId="0" borderId="58" xfId="60" applyFont="1" applyFill="1" applyBorder="1" applyAlignment="1">
      <alignment horizontal="center" vertical="center"/>
      <protection/>
    </xf>
    <xf numFmtId="0" fontId="3" fillId="36" borderId="59" xfId="60" applyFont="1" applyFill="1" applyBorder="1" applyAlignment="1">
      <alignment horizontal="distributed" vertical="center"/>
      <protection/>
    </xf>
    <xf numFmtId="0" fontId="3" fillId="36" borderId="60" xfId="60" applyFont="1" applyFill="1" applyBorder="1" applyAlignment="1">
      <alignment horizontal="distributed" vertical="center"/>
      <protection/>
    </xf>
    <xf numFmtId="0" fontId="10" fillId="0" borderId="61" xfId="60" applyFont="1" applyFill="1" applyBorder="1" applyAlignment="1">
      <alignment horizontal="distributed" vertical="center"/>
      <protection/>
    </xf>
    <xf numFmtId="0" fontId="10" fillId="0" borderId="62" xfId="60" applyFont="1" applyFill="1" applyBorder="1" applyAlignment="1">
      <alignment horizontal="center" vertical="center"/>
      <protection/>
    </xf>
    <xf numFmtId="0" fontId="10" fillId="0" borderId="63" xfId="60" applyFont="1" applyFill="1" applyBorder="1" applyAlignment="1">
      <alignment horizontal="distributed" vertical="center"/>
      <protection/>
    </xf>
    <xf numFmtId="0" fontId="10" fillId="0" borderId="64" xfId="60" applyFont="1" applyFill="1" applyBorder="1" applyAlignment="1">
      <alignment horizontal="center" vertical="center"/>
      <protection/>
    </xf>
    <xf numFmtId="3" fontId="3" fillId="34" borderId="65" xfId="60" applyNumberFormat="1" applyFont="1" applyFill="1" applyBorder="1" applyAlignment="1">
      <alignment horizontal="right" vertical="center"/>
      <protection/>
    </xf>
    <xf numFmtId="3" fontId="3" fillId="34" borderId="66" xfId="60" applyNumberFormat="1" applyFont="1" applyFill="1" applyBorder="1" applyAlignment="1">
      <alignment horizontal="right" vertical="center"/>
      <protection/>
    </xf>
    <xf numFmtId="3" fontId="3" fillId="35" borderId="35" xfId="60" applyNumberFormat="1" applyFont="1" applyFill="1" applyBorder="1" applyAlignment="1">
      <alignment horizontal="right" vertical="center"/>
      <protection/>
    </xf>
    <xf numFmtId="3" fontId="3" fillId="35" borderId="67" xfId="60" applyNumberFormat="1" applyFont="1" applyFill="1" applyBorder="1" applyAlignment="1">
      <alignment horizontal="right" vertical="center"/>
      <protection/>
    </xf>
    <xf numFmtId="3" fontId="8" fillId="34" borderId="66" xfId="60" applyNumberFormat="1" applyFont="1" applyFill="1" applyBorder="1" applyAlignment="1">
      <alignment horizontal="right" vertical="center"/>
      <protection/>
    </xf>
    <xf numFmtId="3" fontId="8" fillId="35" borderId="35" xfId="60" applyNumberFormat="1" applyFont="1" applyFill="1" applyBorder="1" applyAlignment="1">
      <alignment horizontal="right" vertical="center"/>
      <protection/>
    </xf>
    <xf numFmtId="3" fontId="8" fillId="35" borderId="67" xfId="60" applyNumberFormat="1" applyFont="1" applyFill="1" applyBorder="1" applyAlignment="1">
      <alignment horizontal="right" vertical="center"/>
      <protection/>
    </xf>
    <xf numFmtId="3" fontId="3" fillId="34" borderId="68" xfId="60" applyNumberFormat="1" applyFont="1" applyFill="1" applyBorder="1" applyAlignment="1">
      <alignment horizontal="right" vertical="center"/>
      <protection/>
    </xf>
    <xf numFmtId="3" fontId="3" fillId="35" borderId="69"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3" fontId="3" fillId="34" borderId="71" xfId="60" applyNumberFormat="1" applyFont="1" applyFill="1" applyBorder="1" applyAlignment="1">
      <alignment horizontal="right" vertical="center"/>
      <protection/>
    </xf>
    <xf numFmtId="3" fontId="3" fillId="34" borderId="71" xfId="60" applyNumberFormat="1" applyFont="1" applyFill="1" applyBorder="1" applyAlignment="1">
      <alignment vertical="center"/>
      <protection/>
    </xf>
    <xf numFmtId="3" fontId="3" fillId="34" borderId="72" xfId="60" applyNumberFormat="1" applyFont="1" applyFill="1" applyBorder="1" applyAlignment="1">
      <alignment horizontal="right" vertical="center"/>
      <protection/>
    </xf>
    <xf numFmtId="3" fontId="3" fillId="35" borderId="73" xfId="60" applyNumberFormat="1" applyFont="1" applyFill="1" applyBorder="1" applyAlignment="1">
      <alignment horizontal="right" vertical="center"/>
      <protection/>
    </xf>
    <xf numFmtId="3" fontId="3" fillId="35" borderId="74" xfId="60" applyNumberFormat="1" applyFont="1" applyFill="1" applyBorder="1" applyAlignment="1">
      <alignment horizontal="right" vertical="center"/>
      <protection/>
    </xf>
    <xf numFmtId="3" fontId="3" fillId="34" borderId="75" xfId="60" applyNumberFormat="1" applyFont="1" applyFill="1" applyBorder="1" applyAlignment="1">
      <alignment horizontal="right" vertical="center"/>
      <protection/>
    </xf>
    <xf numFmtId="3" fontId="3" fillId="35" borderId="45" xfId="60" applyNumberFormat="1" applyFont="1" applyFill="1" applyBorder="1" applyAlignment="1">
      <alignment horizontal="right" vertical="center"/>
      <protection/>
    </xf>
    <xf numFmtId="3" fontId="3" fillId="35" borderId="76" xfId="60" applyNumberFormat="1" applyFont="1" applyFill="1" applyBorder="1" applyAlignment="1">
      <alignment horizontal="right" vertical="center"/>
      <protection/>
    </xf>
    <xf numFmtId="176" fontId="3" fillId="34" borderId="41" xfId="60" applyNumberFormat="1" applyFont="1" applyFill="1" applyBorder="1" applyAlignment="1">
      <alignment horizontal="right" vertical="center"/>
      <protection/>
    </xf>
    <xf numFmtId="176" fontId="3" fillId="35" borderId="33" xfId="60" applyNumberFormat="1" applyFont="1" applyFill="1" applyBorder="1" applyAlignment="1">
      <alignment horizontal="right" vertical="center"/>
      <protection/>
    </xf>
    <xf numFmtId="176" fontId="3" fillId="35" borderId="77" xfId="60" applyNumberFormat="1" applyFont="1" applyFill="1" applyBorder="1" applyAlignment="1">
      <alignment horizontal="right" vertical="center"/>
      <protection/>
    </xf>
    <xf numFmtId="176" fontId="3" fillId="34" borderId="78" xfId="60" applyNumberFormat="1" applyFont="1" applyFill="1" applyBorder="1" applyAlignment="1">
      <alignment horizontal="right" vertical="center"/>
      <protection/>
    </xf>
    <xf numFmtId="176" fontId="3" fillId="35" borderId="35" xfId="60" applyNumberFormat="1" applyFont="1" applyFill="1" applyBorder="1" applyAlignment="1">
      <alignment horizontal="right" vertical="center"/>
      <protection/>
    </xf>
    <xf numFmtId="176" fontId="3" fillId="35" borderId="79" xfId="60" applyNumberFormat="1" applyFont="1" applyFill="1" applyBorder="1" applyAlignment="1">
      <alignment horizontal="right" vertical="center"/>
      <protection/>
    </xf>
    <xf numFmtId="176" fontId="8" fillId="34" borderId="80" xfId="60" applyNumberFormat="1" applyFont="1" applyFill="1" applyBorder="1" applyAlignment="1">
      <alignment horizontal="right" vertical="center"/>
      <protection/>
    </xf>
    <xf numFmtId="176" fontId="8" fillId="35" borderId="81" xfId="60" applyNumberFormat="1" applyFont="1" applyFill="1" applyBorder="1" applyAlignment="1">
      <alignment horizontal="right" vertical="center"/>
      <protection/>
    </xf>
    <xf numFmtId="176" fontId="8" fillId="35" borderId="82" xfId="60" applyNumberFormat="1" applyFont="1" applyFill="1" applyBorder="1" applyAlignment="1">
      <alignment horizontal="right" vertical="center"/>
      <protection/>
    </xf>
    <xf numFmtId="176" fontId="10" fillId="0" borderId="83" xfId="60" applyNumberFormat="1" applyFont="1" applyFill="1" applyBorder="1" applyAlignment="1">
      <alignment horizontal="right" vertical="center"/>
      <protection/>
    </xf>
    <xf numFmtId="176" fontId="10" fillId="0" borderId="84" xfId="60" applyNumberFormat="1" applyFont="1" applyFill="1" applyBorder="1" applyAlignment="1">
      <alignment horizontal="right" vertical="center"/>
      <protection/>
    </xf>
    <xf numFmtId="176" fontId="10" fillId="0" borderId="85" xfId="60" applyNumberFormat="1" applyFont="1" applyFill="1" applyBorder="1" applyAlignment="1">
      <alignment horizontal="right" vertical="center"/>
      <protection/>
    </xf>
    <xf numFmtId="176" fontId="3" fillId="0" borderId="86" xfId="60" applyNumberFormat="1" applyFont="1" applyFill="1" applyBorder="1" applyAlignment="1">
      <alignment horizontal="right" vertical="center"/>
      <protection/>
    </xf>
    <xf numFmtId="176" fontId="3" fillId="0" borderId="87" xfId="60" applyNumberFormat="1" applyFont="1" applyFill="1" applyBorder="1" applyAlignment="1">
      <alignment horizontal="right" vertical="center"/>
      <protection/>
    </xf>
    <xf numFmtId="176" fontId="3" fillId="0" borderId="88" xfId="60" applyNumberFormat="1" applyFont="1" applyFill="1" applyBorder="1" applyAlignment="1">
      <alignment horizontal="right" vertical="center"/>
      <protection/>
    </xf>
    <xf numFmtId="176" fontId="8" fillId="34" borderId="89" xfId="60" applyNumberFormat="1" applyFont="1" applyFill="1" applyBorder="1" applyAlignment="1">
      <alignment horizontal="right" vertical="center"/>
      <protection/>
    </xf>
    <xf numFmtId="176" fontId="8" fillId="35" borderId="73" xfId="60" applyNumberFormat="1" applyFont="1" applyFill="1" applyBorder="1" applyAlignment="1">
      <alignment horizontal="right" vertical="center"/>
      <protection/>
    </xf>
    <xf numFmtId="176" fontId="8" fillId="35" borderId="90" xfId="60" applyNumberFormat="1" applyFont="1" applyFill="1" applyBorder="1" applyAlignment="1">
      <alignment horizontal="right" vertical="center"/>
      <protection/>
    </xf>
    <xf numFmtId="176" fontId="8" fillId="34" borderId="91" xfId="60" applyNumberFormat="1" applyFont="1" applyFill="1" applyBorder="1" applyAlignment="1">
      <alignment horizontal="right" vertical="center"/>
      <protection/>
    </xf>
    <xf numFmtId="176" fontId="8" fillId="35" borderId="92" xfId="60" applyNumberFormat="1" applyFont="1" applyFill="1" applyBorder="1" applyAlignment="1">
      <alignment horizontal="right" vertical="center"/>
      <protection/>
    </xf>
    <xf numFmtId="176" fontId="8" fillId="35" borderId="93" xfId="60" applyNumberFormat="1" applyFont="1" applyFill="1" applyBorder="1" applyAlignment="1">
      <alignment horizontal="right" vertical="center"/>
      <protection/>
    </xf>
    <xf numFmtId="176" fontId="10" fillId="0" borderId="94" xfId="60" applyNumberFormat="1" applyFont="1" applyFill="1" applyBorder="1" applyAlignment="1">
      <alignment horizontal="right" vertical="center"/>
      <protection/>
    </xf>
    <xf numFmtId="176" fontId="10" fillId="0" borderId="95" xfId="60" applyNumberFormat="1" applyFont="1" applyFill="1" applyBorder="1" applyAlignment="1">
      <alignment horizontal="right" vertical="center"/>
      <protection/>
    </xf>
    <xf numFmtId="176" fontId="10" fillId="0" borderId="96" xfId="60" applyNumberFormat="1" applyFont="1" applyFill="1" applyBorder="1" applyAlignment="1">
      <alignment horizontal="right" vertical="center"/>
      <protection/>
    </xf>
    <xf numFmtId="176" fontId="3" fillId="34" borderId="97" xfId="60" applyNumberFormat="1" applyFont="1" applyFill="1" applyBorder="1" applyAlignment="1">
      <alignment horizontal="right" vertical="center"/>
      <protection/>
    </xf>
    <xf numFmtId="176" fontId="3" fillId="35" borderId="98" xfId="60" applyNumberFormat="1" applyFont="1" applyFill="1" applyBorder="1" applyAlignment="1">
      <alignment horizontal="right" vertical="center"/>
      <protection/>
    </xf>
    <xf numFmtId="176" fontId="3" fillId="35" borderId="99" xfId="60" applyNumberFormat="1" applyFont="1" applyFill="1" applyBorder="1" applyAlignment="1">
      <alignment horizontal="right" vertical="center"/>
      <protection/>
    </xf>
    <xf numFmtId="176" fontId="10" fillId="0" borderId="100" xfId="60" applyNumberFormat="1" applyFont="1" applyFill="1" applyBorder="1" applyAlignment="1">
      <alignment horizontal="right" vertical="center"/>
      <protection/>
    </xf>
    <xf numFmtId="176" fontId="10" fillId="0" borderId="101" xfId="60" applyNumberFormat="1" applyFont="1" applyFill="1" applyBorder="1" applyAlignment="1">
      <alignment horizontal="right" vertical="center"/>
      <protection/>
    </xf>
    <xf numFmtId="176" fontId="10" fillId="0" borderId="102" xfId="60" applyNumberFormat="1" applyFont="1" applyFill="1" applyBorder="1" applyAlignment="1">
      <alignment horizontal="right" vertical="center"/>
      <protection/>
    </xf>
    <xf numFmtId="176" fontId="3" fillId="0" borderId="103" xfId="60" applyNumberFormat="1" applyFont="1" applyFill="1" applyBorder="1" applyAlignment="1">
      <alignment horizontal="right" vertical="center"/>
      <protection/>
    </xf>
    <xf numFmtId="176" fontId="3" fillId="0" borderId="104" xfId="60" applyNumberFormat="1" applyFont="1" applyFill="1" applyBorder="1" applyAlignment="1">
      <alignment horizontal="right" vertical="center"/>
      <protection/>
    </xf>
    <xf numFmtId="176" fontId="3" fillId="0" borderId="105" xfId="60" applyNumberFormat="1" applyFont="1" applyFill="1" applyBorder="1" applyAlignment="1">
      <alignment horizontal="right" vertical="center"/>
      <protection/>
    </xf>
    <xf numFmtId="0" fontId="3" fillId="0" borderId="106" xfId="60" applyFont="1" applyFill="1" applyBorder="1" applyAlignment="1">
      <alignment horizontal="distributed" vertical="center"/>
      <protection/>
    </xf>
    <xf numFmtId="3" fontId="3" fillId="0" borderId="106" xfId="60" applyNumberFormat="1" applyFont="1" applyFill="1" applyBorder="1" applyAlignment="1">
      <alignment horizontal="right" vertical="center"/>
      <protection/>
    </xf>
    <xf numFmtId="0" fontId="10" fillId="0" borderId="107" xfId="60" applyFont="1" applyFill="1" applyBorder="1" applyAlignment="1">
      <alignment horizontal="distributed" vertical="center"/>
      <protection/>
    </xf>
    <xf numFmtId="0" fontId="10" fillId="0" borderId="108" xfId="60" applyFont="1" applyFill="1" applyBorder="1" applyAlignment="1">
      <alignment horizontal="distributed" vertical="center"/>
      <protection/>
    </xf>
    <xf numFmtId="0" fontId="10" fillId="0" borderId="109" xfId="60" applyFont="1" applyFill="1" applyBorder="1" applyAlignment="1">
      <alignment horizontal="distributed" vertical="center"/>
      <protection/>
    </xf>
    <xf numFmtId="0" fontId="11" fillId="0" borderId="57" xfId="60" applyFont="1" applyFill="1" applyBorder="1">
      <alignment/>
      <protection/>
    </xf>
    <xf numFmtId="0" fontId="10" fillId="0" borderId="110" xfId="60" applyFont="1" applyFill="1" applyBorder="1" applyAlignment="1">
      <alignment horizontal="distributed" vertical="center"/>
      <protection/>
    </xf>
    <xf numFmtId="0" fontId="10" fillId="0" borderId="111" xfId="60" applyFont="1" applyFill="1" applyBorder="1" applyAlignment="1">
      <alignment horizontal="distributed" vertical="center"/>
      <protection/>
    </xf>
    <xf numFmtId="0" fontId="10" fillId="0" borderId="112" xfId="60" applyFont="1" applyFill="1" applyBorder="1" applyAlignment="1">
      <alignment horizontal="distributed" vertical="center"/>
      <protection/>
    </xf>
    <xf numFmtId="0" fontId="9" fillId="0" borderId="57" xfId="60" applyFont="1" applyBorder="1">
      <alignment/>
      <protection/>
    </xf>
    <xf numFmtId="0" fontId="10" fillId="0" borderId="113" xfId="60" applyFont="1" applyFill="1" applyBorder="1" applyAlignment="1">
      <alignment horizontal="distributed" vertical="center"/>
      <protection/>
    </xf>
    <xf numFmtId="0" fontId="10" fillId="0" borderId="114" xfId="60" applyFont="1" applyFill="1" applyBorder="1" applyAlignment="1">
      <alignment horizontal="distributed" vertical="center"/>
      <protection/>
    </xf>
    <xf numFmtId="3" fontId="3" fillId="34" borderId="115" xfId="60" applyNumberFormat="1" applyFont="1" applyFill="1" applyBorder="1" applyAlignment="1">
      <alignment vertical="center"/>
      <protection/>
    </xf>
    <xf numFmtId="3" fontId="3" fillId="34" borderId="116" xfId="60" applyNumberFormat="1" applyFont="1" applyFill="1" applyBorder="1" applyAlignment="1">
      <alignment vertical="center"/>
      <protection/>
    </xf>
    <xf numFmtId="3" fontId="3" fillId="34" borderId="117" xfId="60" applyNumberFormat="1" applyFont="1" applyFill="1" applyBorder="1" applyAlignment="1">
      <alignment vertical="center"/>
      <protection/>
    </xf>
    <xf numFmtId="3" fontId="3" fillId="34" borderId="24" xfId="60" applyNumberFormat="1" applyFont="1" applyFill="1" applyBorder="1" applyAlignment="1">
      <alignment vertical="center"/>
      <protection/>
    </xf>
    <xf numFmtId="0" fontId="3" fillId="0" borderId="0" xfId="0" applyFont="1" applyAlignment="1">
      <alignment horizontal="left" vertical="top"/>
    </xf>
    <xf numFmtId="0" fontId="3" fillId="0" borderId="106" xfId="60" applyFont="1" applyBorder="1" applyAlignment="1">
      <alignment horizontal="left" vertical="top"/>
      <protection/>
    </xf>
    <xf numFmtId="0" fontId="3" fillId="0" borderId="0" xfId="0" applyFont="1" applyBorder="1" applyAlignment="1">
      <alignment horizontal="left" vertical="top" wrapText="1"/>
    </xf>
    <xf numFmtId="3" fontId="48" fillId="34" borderId="65" xfId="60" applyNumberFormat="1" applyFont="1" applyFill="1" applyBorder="1" applyAlignment="1">
      <alignment horizontal="right" vertical="center"/>
      <protection/>
    </xf>
    <xf numFmtId="3" fontId="49" fillId="34" borderId="66" xfId="60" applyNumberFormat="1" applyFont="1" applyFill="1" applyBorder="1" applyAlignment="1">
      <alignment horizontal="right" vertical="center"/>
      <protection/>
    </xf>
    <xf numFmtId="3" fontId="48" fillId="34" borderId="68" xfId="60" applyNumberFormat="1" applyFont="1" applyFill="1" applyBorder="1" applyAlignment="1">
      <alignment horizontal="right" vertical="center"/>
      <protection/>
    </xf>
    <xf numFmtId="3" fontId="48" fillId="34" borderId="44" xfId="60" applyNumberFormat="1" applyFont="1" applyFill="1" applyBorder="1" applyAlignment="1">
      <alignment horizontal="right" vertical="center"/>
      <protection/>
    </xf>
    <xf numFmtId="3" fontId="48" fillId="34" borderId="75" xfId="60" applyNumberFormat="1" applyFont="1" applyFill="1" applyBorder="1" applyAlignment="1">
      <alignment horizontal="right" vertical="center"/>
      <protection/>
    </xf>
    <xf numFmtId="176" fontId="48" fillId="35" borderId="33" xfId="60" applyNumberFormat="1" applyFont="1" applyFill="1" applyBorder="1" applyAlignment="1">
      <alignment horizontal="right" vertical="center"/>
      <protection/>
    </xf>
    <xf numFmtId="176" fontId="48" fillId="35" borderId="35" xfId="60" applyNumberFormat="1" applyFont="1" applyFill="1" applyBorder="1" applyAlignment="1">
      <alignment horizontal="right" vertical="center"/>
      <protection/>
    </xf>
    <xf numFmtId="176" fontId="48" fillId="35" borderId="77" xfId="60" applyNumberFormat="1" applyFont="1" applyFill="1" applyBorder="1" applyAlignment="1">
      <alignment horizontal="right" vertical="center"/>
      <protection/>
    </xf>
    <xf numFmtId="176" fontId="48" fillId="35" borderId="79" xfId="60" applyNumberFormat="1" applyFont="1" applyFill="1" applyBorder="1" applyAlignment="1">
      <alignment horizontal="right" vertical="center"/>
      <protection/>
    </xf>
    <xf numFmtId="176" fontId="48" fillId="34" borderId="78" xfId="60" applyNumberFormat="1" applyFont="1" applyFill="1" applyBorder="1" applyAlignment="1">
      <alignment horizontal="right" vertical="center"/>
      <protection/>
    </xf>
    <xf numFmtId="176" fontId="49" fillId="34" borderId="80" xfId="60" applyNumberFormat="1" applyFont="1" applyFill="1" applyBorder="1" applyAlignment="1">
      <alignment horizontal="right" vertical="center"/>
      <protection/>
    </xf>
    <xf numFmtId="176" fontId="49" fillId="34" borderId="89" xfId="60" applyNumberFormat="1" applyFont="1" applyFill="1" applyBorder="1" applyAlignment="1">
      <alignment horizontal="right" vertical="center"/>
      <protection/>
    </xf>
    <xf numFmtId="41" fontId="3" fillId="34" borderId="41" xfId="60" applyNumberFormat="1" applyFont="1" applyFill="1" applyBorder="1" applyAlignment="1">
      <alignment horizontal="right" vertical="center"/>
      <protection/>
    </xf>
    <xf numFmtId="41" fontId="3" fillId="34" borderId="65" xfId="60" applyNumberFormat="1" applyFont="1" applyFill="1" applyBorder="1" applyAlignment="1">
      <alignment horizontal="right" vertical="center"/>
      <protection/>
    </xf>
    <xf numFmtId="41" fontId="3" fillId="34" borderId="77" xfId="60" applyNumberFormat="1" applyFont="1" applyFill="1" applyBorder="1" applyAlignment="1">
      <alignment horizontal="right" vertical="center"/>
      <protection/>
    </xf>
    <xf numFmtId="41" fontId="8" fillId="34" borderId="91" xfId="60" applyNumberFormat="1" applyFont="1" applyFill="1" applyBorder="1" applyAlignment="1">
      <alignment horizontal="right" vertical="center"/>
      <protection/>
    </xf>
    <xf numFmtId="41" fontId="8" fillId="34" borderId="118" xfId="60" applyNumberFormat="1" applyFont="1" applyFill="1" applyBorder="1" applyAlignment="1">
      <alignment horizontal="right" vertical="center"/>
      <protection/>
    </xf>
    <xf numFmtId="41" fontId="8" fillId="34" borderId="93" xfId="60" applyNumberFormat="1" applyFont="1" applyFill="1" applyBorder="1" applyAlignment="1">
      <alignment horizontal="right" vertical="center"/>
      <protection/>
    </xf>
    <xf numFmtId="41" fontId="3" fillId="0" borderId="96" xfId="60" applyNumberFormat="1" applyFont="1" applyFill="1" applyBorder="1" applyAlignment="1">
      <alignment horizontal="right" vertical="center"/>
      <protection/>
    </xf>
    <xf numFmtId="41" fontId="3" fillId="0" borderId="119" xfId="60" applyNumberFormat="1" applyFont="1" applyFill="1" applyBorder="1" applyAlignment="1">
      <alignment horizontal="right" vertical="center"/>
      <protection/>
    </xf>
    <xf numFmtId="41" fontId="3" fillId="0" borderId="120" xfId="60" applyNumberFormat="1" applyFont="1" applyFill="1" applyBorder="1" applyAlignment="1">
      <alignment horizontal="right" vertical="center"/>
      <protection/>
    </xf>
    <xf numFmtId="41" fontId="3" fillId="34" borderId="97" xfId="60" applyNumberFormat="1" applyFont="1" applyFill="1" applyBorder="1" applyAlignment="1">
      <alignment horizontal="right" vertical="center"/>
      <protection/>
    </xf>
    <xf numFmtId="41" fontId="3" fillId="34" borderId="121" xfId="60" applyNumberFormat="1" applyFont="1" applyFill="1" applyBorder="1" applyAlignment="1">
      <alignment horizontal="right" vertical="center"/>
      <protection/>
    </xf>
    <xf numFmtId="41" fontId="3" fillId="34" borderId="99" xfId="60" applyNumberFormat="1" applyFont="1" applyFill="1" applyBorder="1" applyAlignment="1">
      <alignment horizontal="right" vertical="center"/>
      <protection/>
    </xf>
    <xf numFmtId="41" fontId="3" fillId="0" borderId="102" xfId="60" applyNumberFormat="1" applyFont="1" applyFill="1" applyBorder="1" applyAlignment="1">
      <alignment horizontal="right" vertical="center"/>
      <protection/>
    </xf>
    <xf numFmtId="41" fontId="3" fillId="0" borderId="122" xfId="60" applyNumberFormat="1" applyFont="1" applyFill="1" applyBorder="1" applyAlignment="1">
      <alignment horizontal="right" vertical="center"/>
      <protection/>
    </xf>
    <xf numFmtId="41" fontId="3" fillId="0" borderId="123" xfId="60" applyNumberFormat="1" applyFont="1" applyFill="1" applyBorder="1" applyAlignment="1">
      <alignment horizontal="right" vertical="center"/>
      <protection/>
    </xf>
    <xf numFmtId="41" fontId="3" fillId="0" borderId="124" xfId="60" applyNumberFormat="1" applyFont="1" applyFill="1" applyBorder="1" applyAlignment="1">
      <alignment horizontal="right" vertical="center"/>
      <protection/>
    </xf>
    <xf numFmtId="41" fontId="3" fillId="0" borderId="125" xfId="60" applyNumberFormat="1" applyFont="1" applyFill="1" applyBorder="1" applyAlignment="1">
      <alignment horizontal="right" vertical="center"/>
      <protection/>
    </xf>
    <xf numFmtId="41" fontId="3" fillId="0" borderId="126" xfId="60" applyNumberFormat="1" applyFont="1" applyFill="1" applyBorder="1" applyAlignment="1">
      <alignment horizontal="right" vertical="center"/>
      <protection/>
    </xf>
    <xf numFmtId="41" fontId="8" fillId="34" borderId="127" xfId="60" applyNumberFormat="1" applyFont="1" applyFill="1" applyBorder="1" applyAlignment="1">
      <alignment horizontal="right" vertical="center"/>
      <protection/>
    </xf>
    <xf numFmtId="41" fontId="8" fillId="34" borderId="128" xfId="60" applyNumberFormat="1" applyFont="1" applyFill="1" applyBorder="1" applyAlignment="1">
      <alignment horizontal="right" vertical="center"/>
      <protection/>
    </xf>
    <xf numFmtId="41" fontId="8" fillId="34" borderId="129" xfId="60" applyNumberFormat="1" applyFont="1" applyFill="1" applyBorder="1" applyAlignment="1">
      <alignment horizontal="right" vertical="center"/>
      <protection/>
    </xf>
    <xf numFmtId="0" fontId="3" fillId="0" borderId="28" xfId="60" applyFont="1" applyBorder="1" applyAlignment="1">
      <alignment horizontal="center" vertical="center"/>
      <protection/>
    </xf>
    <xf numFmtId="0" fontId="3" fillId="0" borderId="36" xfId="60" applyFont="1" applyBorder="1" applyAlignment="1">
      <alignment horizontal="distributed" vertical="center" wrapText="1"/>
      <protection/>
    </xf>
    <xf numFmtId="3" fontId="3" fillId="34" borderId="130" xfId="60" applyNumberFormat="1" applyFont="1" applyFill="1" applyBorder="1" applyAlignment="1">
      <alignment horizontal="right" vertical="center"/>
      <protection/>
    </xf>
    <xf numFmtId="3" fontId="3" fillId="34" borderId="130" xfId="60" applyNumberFormat="1" applyFont="1" applyFill="1" applyBorder="1" applyAlignment="1">
      <alignment vertical="center"/>
      <protection/>
    </xf>
    <xf numFmtId="0" fontId="13" fillId="0" borderId="0" xfId="60" applyFont="1" applyAlignment="1">
      <alignment horizontal="center" vertical="top"/>
      <protection/>
    </xf>
    <xf numFmtId="0" fontId="3" fillId="0" borderId="0" xfId="60" applyFont="1" applyAlignment="1">
      <alignment horizontal="left" vertical="top"/>
      <protection/>
    </xf>
    <xf numFmtId="0" fontId="3" fillId="0" borderId="131" xfId="60" applyFont="1" applyBorder="1" applyAlignment="1">
      <alignment horizontal="center" vertical="center"/>
      <protection/>
    </xf>
    <xf numFmtId="0" fontId="3" fillId="0" borderId="132" xfId="60" applyFont="1" applyBorder="1" applyAlignment="1">
      <alignment horizontal="center" vertical="center"/>
      <protection/>
    </xf>
    <xf numFmtId="0" fontId="3" fillId="0" borderId="57" xfId="60" applyFont="1" applyBorder="1" applyAlignment="1">
      <alignment horizontal="center" vertical="center"/>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3" fillId="0" borderId="135" xfId="60" applyFont="1" applyBorder="1" applyAlignment="1">
      <alignment horizontal="center" vertical="center"/>
      <protection/>
    </xf>
    <xf numFmtId="0" fontId="3" fillId="0" borderId="136" xfId="60" applyFont="1" applyBorder="1" applyAlignment="1">
      <alignment horizontal="center" vertical="center"/>
      <protection/>
    </xf>
    <xf numFmtId="0" fontId="3" fillId="0" borderId="137" xfId="60" applyFont="1" applyBorder="1" applyAlignment="1">
      <alignment horizontal="distributed" vertical="center" wrapText="1"/>
      <protection/>
    </xf>
    <xf numFmtId="0" fontId="3" fillId="0" borderId="137" xfId="60" applyFont="1" applyBorder="1" applyAlignment="1">
      <alignment horizontal="distributed" vertical="center"/>
      <protection/>
    </xf>
    <xf numFmtId="0" fontId="3" fillId="0" borderId="138" xfId="60" applyFont="1" applyBorder="1" applyAlignment="1">
      <alignment horizontal="distributed" vertical="center"/>
      <protection/>
    </xf>
    <xf numFmtId="0" fontId="3" fillId="0" borderId="139" xfId="60" applyFont="1" applyBorder="1" applyAlignment="1">
      <alignment horizontal="distributed" vertical="center" wrapText="1"/>
      <protection/>
    </xf>
    <xf numFmtId="0" fontId="3" fillId="0" borderId="140"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41" xfId="60" applyFont="1" applyBorder="1" applyAlignment="1">
      <alignment horizontal="distributed" vertical="center"/>
      <protection/>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137" xfId="60" applyFont="1" applyBorder="1" applyAlignment="1">
      <alignment horizontal="center" vertical="center"/>
      <protection/>
    </xf>
    <xf numFmtId="0" fontId="3" fillId="0" borderId="138" xfId="60" applyFont="1" applyBorder="1" applyAlignment="1">
      <alignment horizontal="center" vertical="center"/>
      <protection/>
    </xf>
    <xf numFmtId="0" fontId="3" fillId="0" borderId="142"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143" xfId="60" applyFont="1" applyBorder="1" applyAlignment="1">
      <alignment horizontal="center" vertical="center"/>
      <protection/>
    </xf>
    <xf numFmtId="0" fontId="3" fillId="0" borderId="106" xfId="60" applyFont="1" applyBorder="1" applyAlignment="1">
      <alignment horizontal="left" vertical="center"/>
      <protection/>
    </xf>
    <xf numFmtId="0" fontId="3" fillId="0" borderId="0" xfId="60" applyFont="1" applyAlignment="1">
      <alignment horizontal="left" vertical="center"/>
      <protection/>
    </xf>
    <xf numFmtId="0" fontId="3" fillId="0" borderId="106" xfId="60" applyFont="1" applyBorder="1" applyAlignment="1">
      <alignment horizontal="left"/>
      <protection/>
    </xf>
    <xf numFmtId="0" fontId="3" fillId="0" borderId="131" xfId="60" applyFont="1" applyBorder="1" applyAlignment="1">
      <alignment horizontal="distributed" vertical="center"/>
      <protection/>
    </xf>
    <xf numFmtId="0" fontId="3" fillId="0" borderId="57" xfId="60" applyFont="1" applyBorder="1" applyAlignment="1">
      <alignment horizontal="distributed" vertical="center"/>
      <protection/>
    </xf>
    <xf numFmtId="0" fontId="3" fillId="0" borderId="144" xfId="60" applyFont="1" applyBorder="1" applyAlignment="1">
      <alignment horizontal="distributed" vertical="center"/>
      <protection/>
    </xf>
    <xf numFmtId="0" fontId="3" fillId="0" borderId="145" xfId="60" applyFont="1" applyBorder="1" applyAlignment="1">
      <alignment horizontal="center" vertical="center"/>
      <protection/>
    </xf>
    <xf numFmtId="0" fontId="3" fillId="0" borderId="146" xfId="60" applyFont="1" applyBorder="1" applyAlignment="1">
      <alignment horizontal="center" vertical="center"/>
      <protection/>
    </xf>
    <xf numFmtId="0" fontId="3" fillId="0" borderId="147" xfId="60" applyFont="1" applyBorder="1" applyAlignment="1">
      <alignment horizontal="center" vertical="center"/>
      <protection/>
    </xf>
    <xf numFmtId="0" fontId="3" fillId="0" borderId="148" xfId="60" applyFont="1" applyBorder="1" applyAlignment="1">
      <alignment horizontal="center" vertical="center"/>
      <protection/>
    </xf>
    <xf numFmtId="0" fontId="3" fillId="0" borderId="149" xfId="60" applyFont="1" applyBorder="1" applyAlignment="1">
      <alignment horizontal="center" vertical="center"/>
      <protection/>
    </xf>
    <xf numFmtId="0" fontId="3" fillId="0" borderId="49" xfId="60" applyFont="1" applyBorder="1" applyAlignment="1">
      <alignment horizontal="distributed" vertical="center" wrapText="1"/>
      <protection/>
    </xf>
    <xf numFmtId="0" fontId="3" fillId="0" borderId="58" xfId="60" applyFont="1" applyBorder="1" applyAlignment="1">
      <alignment horizontal="distributed" vertical="center" wrapText="1"/>
      <protection/>
    </xf>
    <xf numFmtId="0" fontId="3" fillId="0" borderId="150" xfId="60" applyFont="1" applyBorder="1" applyAlignment="1">
      <alignment horizontal="distributed" vertical="center" wrapText="1"/>
      <protection/>
    </xf>
    <xf numFmtId="0" fontId="3" fillId="0" borderId="151" xfId="60" applyFont="1" applyBorder="1" applyAlignment="1">
      <alignment horizontal="center" vertical="center"/>
      <protection/>
    </xf>
    <xf numFmtId="0" fontId="3" fillId="0" borderId="152" xfId="60" applyFont="1" applyBorder="1" applyAlignment="1">
      <alignment horizontal="center" vertical="center"/>
      <protection/>
    </xf>
    <xf numFmtId="0" fontId="3" fillId="0" borderId="146" xfId="60" applyFont="1" applyBorder="1" applyAlignment="1">
      <alignment horizontal="center" vertical="center" wrapText="1"/>
      <protection/>
    </xf>
    <xf numFmtId="0" fontId="3" fillId="0" borderId="153" xfId="60" applyFont="1" applyBorder="1" applyAlignment="1">
      <alignment horizontal="left" vertical="center"/>
      <protection/>
    </xf>
    <xf numFmtId="0" fontId="3" fillId="0" borderId="154" xfId="60" applyFont="1" applyBorder="1" applyAlignment="1">
      <alignment horizontal="distributed" vertical="center" wrapText="1"/>
      <protection/>
    </xf>
    <xf numFmtId="0" fontId="3" fillId="0" borderId="155" xfId="60" applyFont="1" applyBorder="1" applyAlignment="1">
      <alignment horizontal="distributed" vertical="center"/>
      <protection/>
    </xf>
    <xf numFmtId="0" fontId="3" fillId="0" borderId="156" xfId="60" applyFont="1" applyBorder="1" applyAlignment="1">
      <alignment horizontal="distributed" vertical="center" wrapText="1"/>
      <protection/>
    </xf>
    <xf numFmtId="0" fontId="3" fillId="0" borderId="157" xfId="60" applyFont="1" applyBorder="1" applyAlignment="1">
      <alignment horizontal="distributed" vertical="center"/>
      <protection/>
    </xf>
    <xf numFmtId="0" fontId="3" fillId="0" borderId="158" xfId="60" applyFont="1" applyBorder="1" applyAlignment="1">
      <alignment horizontal="distributed" vertical="center" wrapText="1"/>
      <protection/>
    </xf>
    <xf numFmtId="0" fontId="3" fillId="0" borderId="159" xfId="60" applyFont="1" applyBorder="1" applyAlignment="1">
      <alignment horizontal="distributed" vertical="center" wrapText="1"/>
      <protection/>
    </xf>
    <xf numFmtId="0" fontId="3" fillId="0" borderId="31" xfId="60" applyFont="1" applyBorder="1" applyAlignment="1">
      <alignment horizontal="center" vertical="center"/>
      <protection/>
    </xf>
    <xf numFmtId="0" fontId="3" fillId="0" borderId="145" xfId="60" applyFont="1" applyBorder="1" applyAlignment="1">
      <alignment horizontal="center" vertical="center" wrapText="1"/>
      <protection/>
    </xf>
    <xf numFmtId="0" fontId="3" fillId="0" borderId="160" xfId="60" applyFont="1" applyBorder="1" applyAlignment="1">
      <alignment horizontal="center" vertical="center"/>
      <protection/>
    </xf>
    <xf numFmtId="0" fontId="3" fillId="0" borderId="161"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showGridLines="0" tabSelected="1" workbookViewId="0" topLeftCell="A1">
      <selection activeCell="M10" sqref="M10"/>
    </sheetView>
  </sheetViews>
  <sheetFormatPr defaultColWidth="5.8515625" defaultRowHeight="15"/>
  <cols>
    <col min="1" max="1" width="10.57421875" style="2" customWidth="1"/>
    <col min="2" max="2" width="16.00390625" style="2" customWidth="1"/>
    <col min="3" max="3" width="9.140625" style="2" customWidth="1"/>
    <col min="4" max="4" width="9.7109375" style="2" customWidth="1"/>
    <col min="5" max="5" width="9.140625" style="2" customWidth="1"/>
    <col min="6" max="6" width="11.421875" style="2" bestFit="1" customWidth="1"/>
    <col min="7" max="7" width="9.140625" style="2" customWidth="1"/>
    <col min="8" max="8" width="11.421875" style="2" bestFit="1" customWidth="1"/>
    <col min="9" max="16384" width="5.8515625" style="2" customWidth="1"/>
  </cols>
  <sheetData>
    <row r="1" spans="1:8" ht="15">
      <c r="A1" s="200" t="s">
        <v>233</v>
      </c>
      <c r="B1" s="200"/>
      <c r="C1" s="200"/>
      <c r="D1" s="200"/>
      <c r="E1" s="200"/>
      <c r="F1" s="200"/>
      <c r="G1" s="200"/>
      <c r="H1" s="200"/>
    </row>
    <row r="2" spans="1:8" ht="15">
      <c r="A2" s="39"/>
      <c r="B2" s="39"/>
      <c r="C2" s="39"/>
      <c r="D2" s="39"/>
      <c r="E2" s="39"/>
      <c r="F2" s="39"/>
      <c r="G2" s="39"/>
      <c r="H2" s="39"/>
    </row>
    <row r="3" spans="1:8" ht="12" thickBot="1">
      <c r="A3" s="201" t="s">
        <v>167</v>
      </c>
      <c r="B3" s="201"/>
      <c r="C3" s="201"/>
      <c r="D3" s="201"/>
      <c r="E3" s="201"/>
      <c r="F3" s="201"/>
      <c r="G3" s="201"/>
      <c r="H3" s="201"/>
    </row>
    <row r="4" spans="1:8" ht="24" customHeight="1">
      <c r="A4" s="202" t="s">
        <v>152</v>
      </c>
      <c r="B4" s="203"/>
      <c r="C4" s="206" t="s">
        <v>247</v>
      </c>
      <c r="D4" s="207"/>
      <c r="E4" s="206" t="s">
        <v>248</v>
      </c>
      <c r="F4" s="207"/>
      <c r="G4" s="206" t="s">
        <v>249</v>
      </c>
      <c r="H4" s="208"/>
    </row>
    <row r="5" spans="1:8" ht="24" customHeight="1">
      <c r="A5" s="204"/>
      <c r="B5" s="205"/>
      <c r="C5" s="196" t="s">
        <v>153</v>
      </c>
      <c r="D5" s="40" t="s">
        <v>154</v>
      </c>
      <c r="E5" s="196" t="s">
        <v>153</v>
      </c>
      <c r="F5" s="40" t="s">
        <v>154</v>
      </c>
      <c r="G5" s="196" t="s">
        <v>153</v>
      </c>
      <c r="H5" s="41" t="s">
        <v>154</v>
      </c>
    </row>
    <row r="6" spans="1:8" ht="12" customHeight="1">
      <c r="A6" s="42"/>
      <c r="B6" s="43"/>
      <c r="C6" s="30" t="s">
        <v>155</v>
      </c>
      <c r="D6" s="7" t="s">
        <v>156</v>
      </c>
      <c r="E6" s="30" t="s">
        <v>155</v>
      </c>
      <c r="F6" s="7" t="s">
        <v>156</v>
      </c>
      <c r="G6" s="30" t="s">
        <v>155</v>
      </c>
      <c r="H6" s="44" t="s">
        <v>156</v>
      </c>
    </row>
    <row r="7" spans="1:8" ht="30" customHeight="1">
      <c r="A7" s="209" t="s">
        <v>169</v>
      </c>
      <c r="B7" s="45" t="s">
        <v>170</v>
      </c>
      <c r="C7" s="163">
        <v>27429</v>
      </c>
      <c r="D7" s="46">
        <v>17027433</v>
      </c>
      <c r="E7" s="93">
        <v>79090</v>
      </c>
      <c r="F7" s="46">
        <v>627123250</v>
      </c>
      <c r="G7" s="93">
        <v>106519</v>
      </c>
      <c r="H7" s="47">
        <v>644150683</v>
      </c>
    </row>
    <row r="8" spans="1:8" ht="30" customHeight="1">
      <c r="A8" s="210"/>
      <c r="B8" s="48" t="s">
        <v>171</v>
      </c>
      <c r="C8" s="94">
        <v>47869</v>
      </c>
      <c r="D8" s="95">
        <v>18410577</v>
      </c>
      <c r="E8" s="94">
        <v>31900</v>
      </c>
      <c r="F8" s="95">
        <v>20205061</v>
      </c>
      <c r="G8" s="94">
        <v>79769</v>
      </c>
      <c r="H8" s="96">
        <v>38615638</v>
      </c>
    </row>
    <row r="9" spans="1:8" s="50" customFormat="1" ht="30" customHeight="1">
      <c r="A9" s="210"/>
      <c r="B9" s="49" t="s">
        <v>172</v>
      </c>
      <c r="C9" s="164">
        <v>75298</v>
      </c>
      <c r="D9" s="98">
        <v>35438010</v>
      </c>
      <c r="E9" s="97">
        <v>110990</v>
      </c>
      <c r="F9" s="98">
        <v>647328311</v>
      </c>
      <c r="G9" s="97">
        <v>186288</v>
      </c>
      <c r="H9" s="99">
        <v>682766321</v>
      </c>
    </row>
    <row r="10" spans="1:8" ht="30" customHeight="1">
      <c r="A10" s="211"/>
      <c r="B10" s="51" t="s">
        <v>173</v>
      </c>
      <c r="C10" s="165">
        <v>2460</v>
      </c>
      <c r="D10" s="101">
        <v>1700088</v>
      </c>
      <c r="E10" s="100">
        <v>5270</v>
      </c>
      <c r="F10" s="101">
        <v>44238954</v>
      </c>
      <c r="G10" s="100">
        <v>7730</v>
      </c>
      <c r="H10" s="102">
        <v>45939042</v>
      </c>
    </row>
    <row r="11" spans="1:8" ht="30" customHeight="1">
      <c r="A11" s="212" t="s">
        <v>174</v>
      </c>
      <c r="B11" s="52" t="s">
        <v>175</v>
      </c>
      <c r="C11" s="103">
        <v>5224</v>
      </c>
      <c r="D11" s="54">
        <v>1344677</v>
      </c>
      <c r="E11" s="104">
        <v>5133</v>
      </c>
      <c r="F11" s="54">
        <v>2350719</v>
      </c>
      <c r="G11" s="104">
        <v>10357</v>
      </c>
      <c r="H11" s="55">
        <v>3695396</v>
      </c>
    </row>
    <row r="12" spans="1:8" ht="30" customHeight="1">
      <c r="A12" s="213"/>
      <c r="B12" s="197" t="s">
        <v>176</v>
      </c>
      <c r="C12" s="198">
        <v>980</v>
      </c>
      <c r="D12" s="66">
        <v>226257</v>
      </c>
      <c r="E12" s="199">
        <v>994</v>
      </c>
      <c r="F12" s="66">
        <v>1398807</v>
      </c>
      <c r="G12" s="199">
        <v>1974</v>
      </c>
      <c r="H12" s="67">
        <v>1625064</v>
      </c>
    </row>
    <row r="13" spans="1:8" ht="30" customHeight="1" thickBot="1">
      <c r="A13" s="214" t="s">
        <v>157</v>
      </c>
      <c r="B13" s="215"/>
      <c r="C13" s="105">
        <v>4845</v>
      </c>
      <c r="D13" s="106">
        <v>246643</v>
      </c>
      <c r="E13" s="105">
        <v>4224</v>
      </c>
      <c r="F13" s="106">
        <v>379035</v>
      </c>
      <c r="G13" s="105">
        <v>9069</v>
      </c>
      <c r="H13" s="107">
        <v>625678</v>
      </c>
    </row>
    <row r="14" spans="1:8" ht="2.25" customHeight="1">
      <c r="A14" s="144"/>
      <c r="B14" s="144"/>
      <c r="C14" s="145"/>
      <c r="D14" s="145"/>
      <c r="E14" s="145"/>
      <c r="F14" s="145"/>
      <c r="G14" s="145"/>
      <c r="H14" s="145"/>
    </row>
    <row r="15" spans="1:8" s="1" customFormat="1" ht="34.5" customHeight="1">
      <c r="A15" s="162" t="s">
        <v>166</v>
      </c>
      <c r="B15" s="216" t="s">
        <v>245</v>
      </c>
      <c r="C15" s="216"/>
      <c r="D15" s="216"/>
      <c r="E15" s="216"/>
      <c r="F15" s="216"/>
      <c r="G15" s="216"/>
      <c r="H15" s="216"/>
    </row>
    <row r="16" spans="1:8" ht="45" customHeight="1">
      <c r="A16" s="160"/>
      <c r="B16" s="217" t="s">
        <v>246</v>
      </c>
      <c r="C16" s="217"/>
      <c r="D16" s="217"/>
      <c r="E16" s="217"/>
      <c r="F16" s="217"/>
      <c r="G16" s="217"/>
      <c r="H16" s="217"/>
    </row>
    <row r="17" ht="14.25" customHeight="1">
      <c r="A17" s="2" t="s">
        <v>244</v>
      </c>
    </row>
  </sheetData>
  <sheetProtection/>
  <mergeCells count="11">
    <mergeCell ref="A7:A10"/>
    <mergeCell ref="A11:A12"/>
    <mergeCell ref="A13:B13"/>
    <mergeCell ref="B15:H15"/>
    <mergeCell ref="B16:H16"/>
    <mergeCell ref="C4:D4"/>
    <mergeCell ref="E4:F4"/>
    <mergeCell ref="G4:H4"/>
    <mergeCell ref="A1:H1"/>
    <mergeCell ref="A3:H3"/>
    <mergeCell ref="A4:B5"/>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r:id="rId1"/>
  <headerFooter alignWithMargins="0">
    <oddFooter>&amp;R仙台国税局
消費税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K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158</v>
      </c>
    </row>
    <row r="2" spans="1:8" s="2" customFormat="1" ht="15" customHeight="1">
      <c r="A2" s="202" t="s">
        <v>152</v>
      </c>
      <c r="B2" s="203"/>
      <c r="C2" s="220" t="s">
        <v>168</v>
      </c>
      <c r="D2" s="220"/>
      <c r="E2" s="220" t="s">
        <v>177</v>
      </c>
      <c r="F2" s="220"/>
      <c r="G2" s="221" t="s">
        <v>178</v>
      </c>
      <c r="H2" s="222"/>
    </row>
    <row r="3" spans="1:8" s="2" customFormat="1" ht="15" customHeight="1">
      <c r="A3" s="204"/>
      <c r="B3" s="205"/>
      <c r="C3" s="53" t="s">
        <v>179</v>
      </c>
      <c r="D3" s="40" t="s">
        <v>180</v>
      </c>
      <c r="E3" s="53" t="s">
        <v>179</v>
      </c>
      <c r="F3" s="56" t="s">
        <v>180</v>
      </c>
      <c r="G3" s="53" t="s">
        <v>179</v>
      </c>
      <c r="H3" s="57" t="s">
        <v>180</v>
      </c>
    </row>
    <row r="4" spans="1:8" s="62" customFormat="1" ht="15" customHeight="1">
      <c r="A4" s="58"/>
      <c r="B4" s="40"/>
      <c r="C4" s="59" t="s">
        <v>15</v>
      </c>
      <c r="D4" s="60" t="s">
        <v>16</v>
      </c>
      <c r="E4" s="59" t="s">
        <v>15</v>
      </c>
      <c r="F4" s="60" t="s">
        <v>16</v>
      </c>
      <c r="G4" s="59" t="s">
        <v>15</v>
      </c>
      <c r="H4" s="61" t="s">
        <v>16</v>
      </c>
    </row>
    <row r="5" spans="1:8" s="64" customFormat="1" ht="30" customHeight="1">
      <c r="A5" s="218" t="s">
        <v>232</v>
      </c>
      <c r="B5" s="45" t="s">
        <v>159</v>
      </c>
      <c r="C5" s="63">
        <v>81292</v>
      </c>
      <c r="D5" s="46">
        <v>37182441</v>
      </c>
      <c r="E5" s="63">
        <v>110232</v>
      </c>
      <c r="F5" s="46">
        <v>597098593</v>
      </c>
      <c r="G5" s="63">
        <v>191524</v>
      </c>
      <c r="H5" s="47">
        <v>634281034</v>
      </c>
    </row>
    <row r="6" spans="1:8" s="64" customFormat="1" ht="30" customHeight="1">
      <c r="A6" s="219"/>
      <c r="B6" s="51" t="s">
        <v>3</v>
      </c>
      <c r="C6" s="65">
        <v>2280</v>
      </c>
      <c r="D6" s="66">
        <v>1510872</v>
      </c>
      <c r="E6" s="65">
        <v>4737</v>
      </c>
      <c r="F6" s="66">
        <v>35901272</v>
      </c>
      <c r="G6" s="65">
        <v>7017</v>
      </c>
      <c r="H6" s="67">
        <v>37412144</v>
      </c>
    </row>
    <row r="7" spans="1:8" s="64" customFormat="1" ht="30" customHeight="1">
      <c r="A7" s="218" t="s">
        <v>236</v>
      </c>
      <c r="B7" s="68" t="s">
        <v>159</v>
      </c>
      <c r="C7" s="69">
        <v>78757</v>
      </c>
      <c r="D7" s="54">
        <v>37027560</v>
      </c>
      <c r="E7" s="69">
        <v>111210</v>
      </c>
      <c r="F7" s="54">
        <v>752341535</v>
      </c>
      <c r="G7" s="69">
        <v>189967</v>
      </c>
      <c r="H7" s="55">
        <v>789369096</v>
      </c>
    </row>
    <row r="8" spans="1:8" s="64" customFormat="1" ht="30" customHeight="1">
      <c r="A8" s="219"/>
      <c r="B8" s="51" t="s">
        <v>3</v>
      </c>
      <c r="C8" s="65">
        <v>2062</v>
      </c>
      <c r="D8" s="66">
        <v>1567811</v>
      </c>
      <c r="E8" s="65">
        <v>4826</v>
      </c>
      <c r="F8" s="66">
        <v>38306237</v>
      </c>
      <c r="G8" s="65">
        <v>6888</v>
      </c>
      <c r="H8" s="67">
        <v>39874048</v>
      </c>
    </row>
    <row r="9" spans="1:8" s="64" customFormat="1" ht="30" customHeight="1">
      <c r="A9" s="218" t="s">
        <v>240</v>
      </c>
      <c r="B9" s="68" t="s">
        <v>159</v>
      </c>
      <c r="C9" s="69">
        <v>79322</v>
      </c>
      <c r="D9" s="54">
        <v>36467855</v>
      </c>
      <c r="E9" s="69">
        <v>111402</v>
      </c>
      <c r="F9" s="54">
        <v>624518675</v>
      </c>
      <c r="G9" s="69">
        <v>190724</v>
      </c>
      <c r="H9" s="55">
        <v>660986530</v>
      </c>
    </row>
    <row r="10" spans="1:8" s="64" customFormat="1" ht="30" customHeight="1">
      <c r="A10" s="219"/>
      <c r="B10" s="51" t="s">
        <v>3</v>
      </c>
      <c r="C10" s="65">
        <v>2311</v>
      </c>
      <c r="D10" s="66">
        <v>1609742</v>
      </c>
      <c r="E10" s="65">
        <v>5054</v>
      </c>
      <c r="F10" s="66">
        <v>44818077</v>
      </c>
      <c r="G10" s="65">
        <v>7365</v>
      </c>
      <c r="H10" s="67">
        <v>46427819</v>
      </c>
    </row>
    <row r="11" spans="1:8" s="64" customFormat="1" ht="30" customHeight="1">
      <c r="A11" s="218" t="s">
        <v>241</v>
      </c>
      <c r="B11" s="68" t="s">
        <v>159</v>
      </c>
      <c r="C11" s="69">
        <v>79585</v>
      </c>
      <c r="D11" s="54">
        <v>36089002</v>
      </c>
      <c r="E11" s="69">
        <v>111813</v>
      </c>
      <c r="F11" s="54">
        <v>623500762</v>
      </c>
      <c r="G11" s="69">
        <v>191398</v>
      </c>
      <c r="H11" s="55">
        <v>659589764</v>
      </c>
    </row>
    <row r="12" spans="1:8" s="64" customFormat="1" ht="30" customHeight="1">
      <c r="A12" s="219"/>
      <c r="B12" s="51" t="s">
        <v>3</v>
      </c>
      <c r="C12" s="65">
        <v>2400</v>
      </c>
      <c r="D12" s="66">
        <v>1512638</v>
      </c>
      <c r="E12" s="65">
        <v>5138</v>
      </c>
      <c r="F12" s="66">
        <v>42311402</v>
      </c>
      <c r="G12" s="65">
        <v>7538</v>
      </c>
      <c r="H12" s="67">
        <v>43824040</v>
      </c>
    </row>
    <row r="13" spans="1:8" s="2" customFormat="1" ht="30" customHeight="1">
      <c r="A13" s="218" t="s">
        <v>242</v>
      </c>
      <c r="B13" s="68" t="s">
        <v>159</v>
      </c>
      <c r="C13" s="166">
        <v>75298</v>
      </c>
      <c r="D13" s="54">
        <v>35438010</v>
      </c>
      <c r="E13" s="69">
        <v>110990</v>
      </c>
      <c r="F13" s="54">
        <v>647328311</v>
      </c>
      <c r="G13" s="69">
        <v>186288</v>
      </c>
      <c r="H13" s="55">
        <v>682766321</v>
      </c>
    </row>
    <row r="14" spans="1:8" s="2" customFormat="1" ht="30" customHeight="1" thickBot="1">
      <c r="A14" s="218"/>
      <c r="B14" s="70" t="s">
        <v>3</v>
      </c>
      <c r="C14" s="167">
        <v>2460</v>
      </c>
      <c r="D14" s="109">
        <v>1700088</v>
      </c>
      <c r="E14" s="108">
        <v>5270</v>
      </c>
      <c r="F14" s="109">
        <v>44238954</v>
      </c>
      <c r="G14" s="108">
        <v>7730</v>
      </c>
      <c r="H14" s="110">
        <v>45939042</v>
      </c>
    </row>
    <row r="15" spans="1:7" s="2" customFormat="1" ht="11.25">
      <c r="A15" s="161"/>
      <c r="E15" s="71"/>
      <c r="G15" s="71"/>
    </row>
    <row r="16" spans="5:7" s="2" customFormat="1" ht="11.25">
      <c r="E16" s="71"/>
      <c r="G16" s="71"/>
    </row>
    <row r="17" spans="5:7" s="2" customFormat="1" ht="11.25">
      <c r="E17" s="71"/>
      <c r="G17" s="71"/>
    </row>
    <row r="18" spans="5:7" s="2" customFormat="1" ht="11.25">
      <c r="E18" s="71"/>
      <c r="G18" s="71"/>
    </row>
    <row r="19" spans="5:7" s="2" customFormat="1" ht="11.25">
      <c r="E19" s="71"/>
      <c r="G19" s="71"/>
    </row>
    <row r="20" spans="5:7" s="2" customFormat="1" ht="11.25">
      <c r="E20" s="71"/>
      <c r="G20" s="71"/>
    </row>
    <row r="21" spans="5:7" s="2" customFormat="1" ht="11.25">
      <c r="E21" s="71"/>
      <c r="G21" s="71"/>
    </row>
    <row r="22" spans="5:7" s="2" customFormat="1" ht="11.25">
      <c r="E22" s="71"/>
      <c r="G22" s="71"/>
    </row>
  </sheetData>
  <sheetProtection/>
  <mergeCells count="9">
    <mergeCell ref="A11:A12"/>
    <mergeCell ref="A13:A14"/>
    <mergeCell ref="A2:B3"/>
    <mergeCell ref="C2:D2"/>
    <mergeCell ref="E2:F2"/>
    <mergeCell ref="G2:H2"/>
    <mergeCell ref="A5:A6"/>
    <mergeCell ref="A7:A8"/>
    <mergeCell ref="A9:A10"/>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r:id="rId1"/>
  <headerFooter alignWithMargins="0">
    <oddFooter>&amp;R仙台国税局
消費税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K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160</v>
      </c>
    </row>
    <row r="2" spans="1:4" s="1" customFormat="1" ht="19.5" customHeight="1">
      <c r="A2" s="72" t="s">
        <v>161</v>
      </c>
      <c r="B2" s="73" t="s">
        <v>162</v>
      </c>
      <c r="C2" s="74" t="s">
        <v>163</v>
      </c>
      <c r="D2" s="75" t="s">
        <v>164</v>
      </c>
    </row>
    <row r="3" spans="1:4" s="62" customFormat="1" ht="15" customHeight="1">
      <c r="A3" s="76" t="s">
        <v>15</v>
      </c>
      <c r="B3" s="77" t="s">
        <v>15</v>
      </c>
      <c r="C3" s="78" t="s">
        <v>15</v>
      </c>
      <c r="D3" s="79" t="s">
        <v>15</v>
      </c>
    </row>
    <row r="4" spans="1:9" s="1" customFormat="1" ht="30" customHeight="1" thickBot="1">
      <c r="A4" s="156">
        <v>195741</v>
      </c>
      <c r="B4" s="157">
        <v>5624</v>
      </c>
      <c r="C4" s="158">
        <v>461</v>
      </c>
      <c r="D4" s="159">
        <v>201826</v>
      </c>
      <c r="E4" s="80"/>
      <c r="G4" s="80"/>
      <c r="I4" s="80"/>
    </row>
    <row r="5" spans="1:4" s="1" customFormat="1" ht="15" customHeight="1">
      <c r="A5" s="223" t="s">
        <v>243</v>
      </c>
      <c r="B5" s="223"/>
      <c r="C5" s="223"/>
      <c r="D5" s="223"/>
    </row>
    <row r="6" spans="1:4" s="1" customFormat="1" ht="15" customHeight="1">
      <c r="A6" s="224" t="s">
        <v>165</v>
      </c>
      <c r="B6" s="224"/>
      <c r="C6" s="224"/>
      <c r="D6" s="224"/>
    </row>
  </sheetData>
  <sheetProtection/>
  <mergeCells count="2">
    <mergeCell ref="A5:D5"/>
    <mergeCell ref="A6:D6"/>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r:id="rId1"/>
  <headerFooter alignWithMargins="0">
    <oddFooter>&amp;R仙台国税局
消費税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86"/>
  <sheetViews>
    <sheetView showGridLines="0" workbookViewId="0" topLeftCell="A1">
      <selection activeCell="A1" sqref="A1:K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238</v>
      </c>
      <c r="B1" s="1"/>
      <c r="C1" s="1"/>
      <c r="D1" s="1"/>
      <c r="E1" s="1"/>
      <c r="F1" s="1"/>
      <c r="G1" s="1"/>
      <c r="H1" s="2"/>
      <c r="I1" s="2"/>
      <c r="J1" s="2"/>
      <c r="K1" s="2"/>
      <c r="L1" s="2"/>
      <c r="M1" s="2"/>
      <c r="N1" s="2"/>
    </row>
    <row r="2" spans="1:14" ht="14.25" thickBot="1">
      <c r="A2" s="224" t="s">
        <v>0</v>
      </c>
      <c r="B2" s="224"/>
      <c r="C2" s="224"/>
      <c r="D2" s="224"/>
      <c r="E2" s="224"/>
      <c r="F2" s="224"/>
      <c r="G2" s="224"/>
      <c r="H2" s="2"/>
      <c r="I2" s="2"/>
      <c r="J2" s="2"/>
      <c r="K2" s="2"/>
      <c r="L2" s="2"/>
      <c r="M2" s="2"/>
      <c r="N2" s="2"/>
    </row>
    <row r="3" spans="1:14" ht="19.5" customHeight="1">
      <c r="A3" s="226" t="s">
        <v>1</v>
      </c>
      <c r="B3" s="229" t="s">
        <v>2</v>
      </c>
      <c r="C3" s="229"/>
      <c r="D3" s="229"/>
      <c r="E3" s="229"/>
      <c r="F3" s="229"/>
      <c r="G3" s="229"/>
      <c r="H3" s="230" t="s">
        <v>3</v>
      </c>
      <c r="I3" s="231"/>
      <c r="J3" s="239" t="s">
        <v>4</v>
      </c>
      <c r="K3" s="231"/>
      <c r="L3" s="230" t="s">
        <v>5</v>
      </c>
      <c r="M3" s="231"/>
      <c r="N3" s="234" t="s">
        <v>6</v>
      </c>
    </row>
    <row r="4" spans="1:14" ht="17.25" customHeight="1">
      <c r="A4" s="227"/>
      <c r="B4" s="237" t="s">
        <v>7</v>
      </c>
      <c r="C4" s="237"/>
      <c r="D4" s="232" t="s">
        <v>8</v>
      </c>
      <c r="E4" s="238"/>
      <c r="F4" s="232" t="s">
        <v>9</v>
      </c>
      <c r="G4" s="238"/>
      <c r="H4" s="232"/>
      <c r="I4" s="233"/>
      <c r="J4" s="232"/>
      <c r="K4" s="233"/>
      <c r="L4" s="232"/>
      <c r="M4" s="233"/>
      <c r="N4" s="235"/>
    </row>
    <row r="5" spans="1:14" s="4" customFormat="1" ht="28.5" customHeight="1">
      <c r="A5" s="228"/>
      <c r="B5" s="33" t="s">
        <v>10</v>
      </c>
      <c r="C5" s="34" t="s">
        <v>11</v>
      </c>
      <c r="D5" s="33" t="s">
        <v>10</v>
      </c>
      <c r="E5" s="34" t="s">
        <v>11</v>
      </c>
      <c r="F5" s="33" t="s">
        <v>10</v>
      </c>
      <c r="G5" s="38" t="s">
        <v>12</v>
      </c>
      <c r="H5" s="33" t="s">
        <v>91</v>
      </c>
      <c r="I5" s="37" t="s">
        <v>13</v>
      </c>
      <c r="J5" s="33" t="s">
        <v>91</v>
      </c>
      <c r="K5" s="37" t="s">
        <v>14</v>
      </c>
      <c r="L5" s="33" t="s">
        <v>91</v>
      </c>
      <c r="M5" s="35" t="s">
        <v>92</v>
      </c>
      <c r="N5" s="236"/>
    </row>
    <row r="6" spans="1:14" s="10" customFormat="1" ht="10.5">
      <c r="A6" s="5"/>
      <c r="B6" s="6" t="s">
        <v>15</v>
      </c>
      <c r="C6" s="7" t="s">
        <v>16</v>
      </c>
      <c r="D6" s="6" t="s">
        <v>15</v>
      </c>
      <c r="E6" s="7" t="s">
        <v>16</v>
      </c>
      <c r="F6" s="6" t="s">
        <v>15</v>
      </c>
      <c r="G6" s="7" t="s">
        <v>16</v>
      </c>
      <c r="H6" s="6" t="s">
        <v>15</v>
      </c>
      <c r="I6" s="8" t="s">
        <v>16</v>
      </c>
      <c r="J6" s="6" t="s">
        <v>15</v>
      </c>
      <c r="K6" s="8" t="s">
        <v>16</v>
      </c>
      <c r="L6" s="6" t="s">
        <v>237</v>
      </c>
      <c r="M6" s="8" t="s">
        <v>16</v>
      </c>
      <c r="N6" s="9"/>
    </row>
    <row r="7" spans="1:14" ht="15.75" customHeight="1">
      <c r="A7" s="11" t="s">
        <v>18</v>
      </c>
      <c r="B7" s="111">
        <f>_xlfn.COMPOUNDVALUE(1)</f>
        <v>919</v>
      </c>
      <c r="C7" s="168">
        <v>612521</v>
      </c>
      <c r="D7" s="111">
        <f>_xlfn.COMPOUNDVALUE(2)</f>
        <v>1713</v>
      </c>
      <c r="E7" s="168">
        <v>672776</v>
      </c>
      <c r="F7" s="111">
        <f>_xlfn.COMPOUNDVALUE(3)</f>
        <v>2632</v>
      </c>
      <c r="G7" s="168">
        <v>1285298</v>
      </c>
      <c r="H7" s="111">
        <f>_xlfn.COMPOUNDVALUE(4)</f>
        <v>42</v>
      </c>
      <c r="I7" s="170">
        <v>20341</v>
      </c>
      <c r="J7" s="111">
        <v>282</v>
      </c>
      <c r="K7" s="113">
        <v>62952</v>
      </c>
      <c r="L7" s="111">
        <v>2784</v>
      </c>
      <c r="M7" s="113">
        <v>1327909</v>
      </c>
      <c r="N7" s="12" t="s">
        <v>96</v>
      </c>
    </row>
    <row r="8" spans="1:14" ht="15.75" customHeight="1">
      <c r="A8" s="13" t="s">
        <v>19</v>
      </c>
      <c r="B8" s="114">
        <f>_xlfn.COMPOUNDVALUE(5)</f>
        <v>574</v>
      </c>
      <c r="C8" s="169">
        <v>350785</v>
      </c>
      <c r="D8" s="114">
        <f>_xlfn.COMPOUNDVALUE(6)</f>
        <v>1231</v>
      </c>
      <c r="E8" s="169">
        <v>437179</v>
      </c>
      <c r="F8" s="114">
        <f>_xlfn.COMPOUNDVALUE(7)</f>
        <v>1805</v>
      </c>
      <c r="G8" s="169">
        <v>787964</v>
      </c>
      <c r="H8" s="114">
        <f>_xlfn.COMPOUNDVALUE(8)</f>
        <v>31</v>
      </c>
      <c r="I8" s="171">
        <v>6914</v>
      </c>
      <c r="J8" s="114">
        <v>119</v>
      </c>
      <c r="K8" s="116">
        <v>20110</v>
      </c>
      <c r="L8" s="114">
        <v>1880</v>
      </c>
      <c r="M8" s="116">
        <v>801160</v>
      </c>
      <c r="N8" s="14" t="s">
        <v>97</v>
      </c>
    </row>
    <row r="9" spans="1:14" ht="15.75" customHeight="1">
      <c r="A9" s="13" t="s">
        <v>20</v>
      </c>
      <c r="B9" s="114">
        <f>_xlfn.COMPOUNDVALUE(9)</f>
        <v>879</v>
      </c>
      <c r="C9" s="169">
        <v>571774</v>
      </c>
      <c r="D9" s="114">
        <f>_xlfn.COMPOUNDVALUE(10)</f>
        <v>1493</v>
      </c>
      <c r="E9" s="169">
        <v>566252</v>
      </c>
      <c r="F9" s="114">
        <f>_xlfn.COMPOUNDVALUE(11)</f>
        <v>2372</v>
      </c>
      <c r="G9" s="169">
        <v>1138027</v>
      </c>
      <c r="H9" s="114">
        <f>_xlfn.COMPOUNDVALUE(12)</f>
        <v>62</v>
      </c>
      <c r="I9" s="171">
        <v>50471</v>
      </c>
      <c r="J9" s="114">
        <v>149</v>
      </c>
      <c r="K9" s="116">
        <v>17746</v>
      </c>
      <c r="L9" s="114">
        <v>2481</v>
      </c>
      <c r="M9" s="116">
        <v>1105301</v>
      </c>
      <c r="N9" s="14" t="s">
        <v>98</v>
      </c>
    </row>
    <row r="10" spans="1:14" ht="15.75" customHeight="1">
      <c r="A10" s="13" t="s">
        <v>21</v>
      </c>
      <c r="B10" s="114">
        <f>_xlfn.COMPOUNDVALUE(13)</f>
        <v>284</v>
      </c>
      <c r="C10" s="169">
        <v>194525</v>
      </c>
      <c r="D10" s="114">
        <f>_xlfn.COMPOUNDVALUE(14)</f>
        <v>697</v>
      </c>
      <c r="E10" s="169">
        <v>227688</v>
      </c>
      <c r="F10" s="114">
        <f>_xlfn.COMPOUNDVALUE(15)</f>
        <v>981</v>
      </c>
      <c r="G10" s="169">
        <v>422213</v>
      </c>
      <c r="H10" s="114">
        <f>_xlfn.COMPOUNDVALUE(16)</f>
        <v>16</v>
      </c>
      <c r="I10" s="171">
        <v>5977</v>
      </c>
      <c r="J10" s="114">
        <v>47</v>
      </c>
      <c r="K10" s="116">
        <v>11075</v>
      </c>
      <c r="L10" s="114">
        <v>1026</v>
      </c>
      <c r="M10" s="116">
        <v>427311</v>
      </c>
      <c r="N10" s="14" t="s">
        <v>99</v>
      </c>
    </row>
    <row r="11" spans="1:14" ht="15.75" customHeight="1">
      <c r="A11" s="13" t="s">
        <v>22</v>
      </c>
      <c r="B11" s="114">
        <f>_xlfn.COMPOUNDVALUE(17)</f>
        <v>547</v>
      </c>
      <c r="C11" s="169">
        <v>338232</v>
      </c>
      <c r="D11" s="114">
        <f>_xlfn.COMPOUNDVALUE(18)</f>
        <v>1334</v>
      </c>
      <c r="E11" s="169">
        <v>436492</v>
      </c>
      <c r="F11" s="114">
        <f>_xlfn.COMPOUNDVALUE(19)</f>
        <v>1881</v>
      </c>
      <c r="G11" s="169">
        <v>774723</v>
      </c>
      <c r="H11" s="114">
        <f>_xlfn.COMPOUNDVALUE(20)</f>
        <v>29</v>
      </c>
      <c r="I11" s="171">
        <v>14851</v>
      </c>
      <c r="J11" s="114">
        <v>146</v>
      </c>
      <c r="K11" s="116">
        <v>22576</v>
      </c>
      <c r="L11" s="114">
        <v>1960</v>
      </c>
      <c r="M11" s="116">
        <v>782448</v>
      </c>
      <c r="N11" s="14" t="s">
        <v>100</v>
      </c>
    </row>
    <row r="12" spans="1:14" ht="15.75" customHeight="1">
      <c r="A12" s="13" t="s">
        <v>23</v>
      </c>
      <c r="B12" s="114">
        <f>_xlfn.COMPOUNDVALUE(21)</f>
        <v>853</v>
      </c>
      <c r="C12" s="169">
        <v>530938</v>
      </c>
      <c r="D12" s="114">
        <f>_xlfn.COMPOUNDVALUE(22)</f>
        <v>1987</v>
      </c>
      <c r="E12" s="169">
        <v>662213</v>
      </c>
      <c r="F12" s="114">
        <f>_xlfn.COMPOUNDVALUE(23)</f>
        <v>2840</v>
      </c>
      <c r="G12" s="169">
        <v>1193152</v>
      </c>
      <c r="H12" s="114">
        <f>_xlfn.COMPOUNDVALUE(24)</f>
        <v>114</v>
      </c>
      <c r="I12" s="171">
        <v>53610</v>
      </c>
      <c r="J12" s="114">
        <v>126</v>
      </c>
      <c r="K12" s="116">
        <v>22775</v>
      </c>
      <c r="L12" s="114">
        <v>3015</v>
      </c>
      <c r="M12" s="116">
        <v>1162317</v>
      </c>
      <c r="N12" s="14" t="s">
        <v>101</v>
      </c>
    </row>
    <row r="13" spans="1:14" ht="15.75" customHeight="1">
      <c r="A13" s="13" t="s">
        <v>24</v>
      </c>
      <c r="B13" s="114">
        <f>_xlfn.COMPOUNDVALUE(25)</f>
        <v>265</v>
      </c>
      <c r="C13" s="169">
        <v>178179</v>
      </c>
      <c r="D13" s="114">
        <f>_xlfn.COMPOUNDVALUE(26)</f>
        <v>593</v>
      </c>
      <c r="E13" s="169">
        <v>201784</v>
      </c>
      <c r="F13" s="114">
        <f>_xlfn.COMPOUNDVALUE(27)</f>
        <v>858</v>
      </c>
      <c r="G13" s="169">
        <v>379963</v>
      </c>
      <c r="H13" s="114">
        <f>_xlfn.COMPOUNDVALUE(28)</f>
        <v>24</v>
      </c>
      <c r="I13" s="171">
        <v>5778</v>
      </c>
      <c r="J13" s="114">
        <v>37</v>
      </c>
      <c r="K13" s="116">
        <v>2343</v>
      </c>
      <c r="L13" s="114">
        <v>898</v>
      </c>
      <c r="M13" s="116">
        <v>376528</v>
      </c>
      <c r="N13" s="14" t="s">
        <v>24</v>
      </c>
    </row>
    <row r="14" spans="1:14" s="17" customFormat="1" ht="15.75" customHeight="1">
      <c r="A14" s="15" t="s">
        <v>25</v>
      </c>
      <c r="B14" s="117">
        <v>4321</v>
      </c>
      <c r="C14" s="118">
        <v>2776955</v>
      </c>
      <c r="D14" s="117">
        <v>9048</v>
      </c>
      <c r="E14" s="118">
        <v>3204384</v>
      </c>
      <c r="F14" s="117">
        <v>13369</v>
      </c>
      <c r="G14" s="118">
        <v>5981339</v>
      </c>
      <c r="H14" s="117">
        <v>318</v>
      </c>
      <c r="I14" s="119">
        <v>157943</v>
      </c>
      <c r="J14" s="117">
        <v>906</v>
      </c>
      <c r="K14" s="119">
        <v>159578</v>
      </c>
      <c r="L14" s="117">
        <v>14044</v>
      </c>
      <c r="M14" s="119">
        <v>5982974</v>
      </c>
      <c r="N14" s="16" t="s">
        <v>95</v>
      </c>
    </row>
    <row r="15" spans="1:15" s="20" customFormat="1" ht="15.75" customHeight="1">
      <c r="A15" s="147"/>
      <c r="B15" s="146"/>
      <c r="C15" s="150"/>
      <c r="D15" s="146"/>
      <c r="E15" s="150"/>
      <c r="F15" s="146"/>
      <c r="G15" s="150"/>
      <c r="H15" s="152"/>
      <c r="I15" s="151"/>
      <c r="J15" s="146"/>
      <c r="K15" s="150"/>
      <c r="L15" s="152"/>
      <c r="M15" s="151"/>
      <c r="N15" s="148"/>
      <c r="O15" s="149"/>
    </row>
    <row r="16" spans="1:14" ht="15.75" customHeight="1">
      <c r="A16" s="11" t="s">
        <v>26</v>
      </c>
      <c r="B16" s="111">
        <f>_xlfn.COMPOUNDVALUE(29)</f>
        <v>1537</v>
      </c>
      <c r="C16" s="168">
        <v>1028440</v>
      </c>
      <c r="D16" s="111">
        <f>_xlfn.COMPOUNDVALUE(30)</f>
        <v>2073</v>
      </c>
      <c r="E16" s="168">
        <v>896184</v>
      </c>
      <c r="F16" s="111">
        <f>_xlfn.COMPOUNDVALUE(31)</f>
        <v>3610</v>
      </c>
      <c r="G16" s="168">
        <v>1924624</v>
      </c>
      <c r="H16" s="111">
        <f>_xlfn.COMPOUNDVALUE(32)</f>
        <v>139</v>
      </c>
      <c r="I16" s="170">
        <v>95496</v>
      </c>
      <c r="J16" s="111">
        <v>285</v>
      </c>
      <c r="K16" s="113">
        <v>61130</v>
      </c>
      <c r="L16" s="111">
        <v>3871</v>
      </c>
      <c r="M16" s="113">
        <v>1890258</v>
      </c>
      <c r="N16" s="24" t="s">
        <v>102</v>
      </c>
    </row>
    <row r="17" spans="1:14" ht="15.75" customHeight="1">
      <c r="A17" s="13" t="s">
        <v>27</v>
      </c>
      <c r="B17" s="114">
        <f>_xlfn.COMPOUNDVALUE(33)</f>
        <v>300</v>
      </c>
      <c r="C17" s="169">
        <v>207378</v>
      </c>
      <c r="D17" s="114">
        <f>_xlfn.COMPOUNDVALUE(34)</f>
        <v>571</v>
      </c>
      <c r="E17" s="169">
        <v>209549</v>
      </c>
      <c r="F17" s="114">
        <f>_xlfn.COMPOUNDVALUE(35)</f>
        <v>871</v>
      </c>
      <c r="G17" s="169">
        <v>416926</v>
      </c>
      <c r="H17" s="114">
        <f>_xlfn.COMPOUNDVALUE(36)</f>
        <v>15</v>
      </c>
      <c r="I17" s="171">
        <v>12765</v>
      </c>
      <c r="J17" s="114">
        <v>56</v>
      </c>
      <c r="K17" s="116">
        <v>4551</v>
      </c>
      <c r="L17" s="114">
        <v>898</v>
      </c>
      <c r="M17" s="116">
        <v>408712</v>
      </c>
      <c r="N17" s="14" t="s">
        <v>103</v>
      </c>
    </row>
    <row r="18" spans="1:14" ht="15.75" customHeight="1">
      <c r="A18" s="13" t="s">
        <v>28</v>
      </c>
      <c r="B18" s="114">
        <f>_xlfn.COMPOUNDVALUE(37)</f>
        <v>295</v>
      </c>
      <c r="C18" s="169">
        <v>242479</v>
      </c>
      <c r="D18" s="114">
        <f>_xlfn.COMPOUNDVALUE(38)</f>
        <v>503</v>
      </c>
      <c r="E18" s="169">
        <v>171514</v>
      </c>
      <c r="F18" s="114">
        <f>_xlfn.COMPOUNDVALUE(39)</f>
        <v>798</v>
      </c>
      <c r="G18" s="169">
        <v>413993</v>
      </c>
      <c r="H18" s="114">
        <f>_xlfn.COMPOUNDVALUE(40)</f>
        <v>47</v>
      </c>
      <c r="I18" s="171">
        <v>31702</v>
      </c>
      <c r="J18" s="114">
        <v>47</v>
      </c>
      <c r="K18" s="116">
        <v>9102</v>
      </c>
      <c r="L18" s="114">
        <v>855</v>
      </c>
      <c r="M18" s="116">
        <v>391392</v>
      </c>
      <c r="N18" s="14" t="s">
        <v>104</v>
      </c>
    </row>
    <row r="19" spans="1:14" ht="15.75" customHeight="1">
      <c r="A19" s="13" t="s">
        <v>29</v>
      </c>
      <c r="B19" s="114">
        <f>_xlfn.COMPOUNDVALUE(41)</f>
        <v>468</v>
      </c>
      <c r="C19" s="169">
        <v>279687</v>
      </c>
      <c r="D19" s="114">
        <f>_xlfn.COMPOUNDVALUE(42)</f>
        <v>624</v>
      </c>
      <c r="E19" s="169">
        <v>263920</v>
      </c>
      <c r="F19" s="114">
        <f>_xlfn.COMPOUNDVALUE(43)</f>
        <v>1092</v>
      </c>
      <c r="G19" s="169">
        <v>543607</v>
      </c>
      <c r="H19" s="114">
        <f>_xlfn.COMPOUNDVALUE(44)</f>
        <v>61</v>
      </c>
      <c r="I19" s="171">
        <v>30743</v>
      </c>
      <c r="J19" s="114">
        <v>77</v>
      </c>
      <c r="K19" s="116">
        <v>12949</v>
      </c>
      <c r="L19" s="114">
        <v>1179</v>
      </c>
      <c r="M19" s="116">
        <v>525813</v>
      </c>
      <c r="N19" s="14" t="s">
        <v>105</v>
      </c>
    </row>
    <row r="20" spans="1:14" ht="15.75" customHeight="1">
      <c r="A20" s="13" t="s">
        <v>30</v>
      </c>
      <c r="B20" s="114">
        <f>_xlfn.COMPOUNDVALUE(45)</f>
        <v>593</v>
      </c>
      <c r="C20" s="169">
        <v>372336</v>
      </c>
      <c r="D20" s="114">
        <f>_xlfn.COMPOUNDVALUE(46)</f>
        <v>740</v>
      </c>
      <c r="E20" s="169">
        <v>308737</v>
      </c>
      <c r="F20" s="114">
        <f>_xlfn.COMPOUNDVALUE(47)</f>
        <v>1333</v>
      </c>
      <c r="G20" s="169">
        <v>681073</v>
      </c>
      <c r="H20" s="114">
        <f>_xlfn.COMPOUNDVALUE(48)</f>
        <v>59</v>
      </c>
      <c r="I20" s="171">
        <v>51887</v>
      </c>
      <c r="J20" s="114">
        <v>108</v>
      </c>
      <c r="K20" s="116">
        <v>23646</v>
      </c>
      <c r="L20" s="114">
        <v>1442</v>
      </c>
      <c r="M20" s="116">
        <v>652832</v>
      </c>
      <c r="N20" s="14" t="s">
        <v>106</v>
      </c>
    </row>
    <row r="21" spans="1:14" ht="15.75" customHeight="1">
      <c r="A21" s="13" t="s">
        <v>31</v>
      </c>
      <c r="B21" s="114">
        <f>_xlfn.COMPOUNDVALUE(49)</f>
        <v>329</v>
      </c>
      <c r="C21" s="169">
        <v>193613</v>
      </c>
      <c r="D21" s="114">
        <f>_xlfn.COMPOUNDVALUE(50)</f>
        <v>350</v>
      </c>
      <c r="E21" s="169">
        <v>119391</v>
      </c>
      <c r="F21" s="114">
        <f>_xlfn.COMPOUNDVALUE(51)</f>
        <v>679</v>
      </c>
      <c r="G21" s="169">
        <v>313004</v>
      </c>
      <c r="H21" s="114">
        <f>_xlfn.COMPOUNDVALUE(52)</f>
        <v>25</v>
      </c>
      <c r="I21" s="171">
        <v>29350</v>
      </c>
      <c r="J21" s="114">
        <v>12</v>
      </c>
      <c r="K21" s="116">
        <v>1718</v>
      </c>
      <c r="L21" s="114">
        <v>706</v>
      </c>
      <c r="M21" s="116">
        <v>285371</v>
      </c>
      <c r="N21" s="14" t="s">
        <v>107</v>
      </c>
    </row>
    <row r="22" spans="1:14" ht="15.75" customHeight="1">
      <c r="A22" s="13" t="s">
        <v>32</v>
      </c>
      <c r="B22" s="114">
        <f>_xlfn.COMPOUNDVALUE(53)</f>
        <v>409</v>
      </c>
      <c r="C22" s="169">
        <v>225932</v>
      </c>
      <c r="D22" s="114">
        <f>_xlfn.COMPOUNDVALUE(54)</f>
        <v>544</v>
      </c>
      <c r="E22" s="169">
        <v>221044</v>
      </c>
      <c r="F22" s="114">
        <f>_xlfn.COMPOUNDVALUE(55)</f>
        <v>953</v>
      </c>
      <c r="G22" s="169">
        <v>446976</v>
      </c>
      <c r="H22" s="114">
        <f>_xlfn.COMPOUNDVALUE(56)</f>
        <v>44</v>
      </c>
      <c r="I22" s="171">
        <v>10508</v>
      </c>
      <c r="J22" s="114">
        <v>112</v>
      </c>
      <c r="K22" s="116">
        <v>14070</v>
      </c>
      <c r="L22" s="114">
        <v>1031</v>
      </c>
      <c r="M22" s="116">
        <v>450538</v>
      </c>
      <c r="N22" s="14" t="s">
        <v>108</v>
      </c>
    </row>
    <row r="23" spans="1:14" ht="15.75" customHeight="1">
      <c r="A23" s="13" t="s">
        <v>33</v>
      </c>
      <c r="B23" s="114">
        <f>_xlfn.COMPOUNDVALUE(57)</f>
        <v>228</v>
      </c>
      <c r="C23" s="169">
        <v>180067</v>
      </c>
      <c r="D23" s="114">
        <f>_xlfn.COMPOUNDVALUE(58)</f>
        <v>361</v>
      </c>
      <c r="E23" s="169">
        <v>143797</v>
      </c>
      <c r="F23" s="114">
        <f>_xlfn.COMPOUNDVALUE(59)</f>
        <v>589</v>
      </c>
      <c r="G23" s="169">
        <v>323865</v>
      </c>
      <c r="H23" s="114">
        <f>_xlfn.COMPOUNDVALUE(60)</f>
        <v>27</v>
      </c>
      <c r="I23" s="171">
        <v>13851</v>
      </c>
      <c r="J23" s="114">
        <v>56</v>
      </c>
      <c r="K23" s="116">
        <v>8569</v>
      </c>
      <c r="L23" s="114">
        <v>630</v>
      </c>
      <c r="M23" s="116">
        <v>318582</v>
      </c>
      <c r="N23" s="14" t="s">
        <v>109</v>
      </c>
    </row>
    <row r="24" spans="1:14" ht="15.75" customHeight="1">
      <c r="A24" s="13" t="s">
        <v>34</v>
      </c>
      <c r="B24" s="114">
        <f>_xlfn.COMPOUNDVALUE(61)</f>
        <v>289</v>
      </c>
      <c r="C24" s="169">
        <v>213388</v>
      </c>
      <c r="D24" s="114">
        <f>_xlfn.COMPOUNDVALUE(62)</f>
        <v>395</v>
      </c>
      <c r="E24" s="169">
        <v>153375</v>
      </c>
      <c r="F24" s="114">
        <f>_xlfn.COMPOUNDVALUE(63)</f>
        <v>684</v>
      </c>
      <c r="G24" s="169">
        <v>366763</v>
      </c>
      <c r="H24" s="114">
        <f>_xlfn.COMPOUNDVALUE(64)</f>
        <v>33</v>
      </c>
      <c r="I24" s="171">
        <v>34288</v>
      </c>
      <c r="J24" s="114">
        <v>28</v>
      </c>
      <c r="K24" s="116">
        <v>7273</v>
      </c>
      <c r="L24" s="114">
        <v>731</v>
      </c>
      <c r="M24" s="116">
        <v>339748</v>
      </c>
      <c r="N24" s="14" t="s">
        <v>110</v>
      </c>
    </row>
    <row r="25" spans="1:14" s="17" customFormat="1" ht="15.75" customHeight="1">
      <c r="A25" s="15" t="s">
        <v>35</v>
      </c>
      <c r="B25" s="117">
        <v>4448</v>
      </c>
      <c r="C25" s="118">
        <v>2943320</v>
      </c>
      <c r="D25" s="117">
        <v>6161</v>
      </c>
      <c r="E25" s="118">
        <v>2487510</v>
      </c>
      <c r="F25" s="117">
        <v>10609</v>
      </c>
      <c r="G25" s="118">
        <v>5430830</v>
      </c>
      <c r="H25" s="117">
        <v>450</v>
      </c>
      <c r="I25" s="119">
        <v>310591</v>
      </c>
      <c r="J25" s="117">
        <v>781</v>
      </c>
      <c r="K25" s="119">
        <v>143007</v>
      </c>
      <c r="L25" s="117">
        <v>11343</v>
      </c>
      <c r="M25" s="119">
        <v>5263246</v>
      </c>
      <c r="N25" s="16" t="s">
        <v>111</v>
      </c>
    </row>
    <row r="26" spans="1:15" s="20" customFormat="1" ht="15.75" customHeight="1">
      <c r="A26" s="23"/>
      <c r="B26" s="152"/>
      <c r="C26" s="150"/>
      <c r="D26" s="146"/>
      <c r="E26" s="154"/>
      <c r="F26" s="152"/>
      <c r="G26" s="146"/>
      <c r="H26" s="152"/>
      <c r="I26" s="146"/>
      <c r="J26" s="152"/>
      <c r="K26" s="150"/>
      <c r="L26" s="146"/>
      <c r="M26" s="150"/>
      <c r="N26" s="148"/>
      <c r="O26" s="149"/>
    </row>
    <row r="27" spans="1:14" s="17" customFormat="1" ht="15.75" customHeight="1">
      <c r="A27" s="11" t="s">
        <v>36</v>
      </c>
      <c r="B27" s="111">
        <f>_xlfn.COMPOUNDVALUE(65)</f>
        <v>1777</v>
      </c>
      <c r="C27" s="168">
        <v>1168007</v>
      </c>
      <c r="D27" s="111">
        <f>_xlfn.COMPOUNDVALUE(66)</f>
        <v>1977</v>
      </c>
      <c r="E27" s="168">
        <v>956725</v>
      </c>
      <c r="F27" s="111">
        <f>_xlfn.COMPOUNDVALUE(67)</f>
        <v>3754</v>
      </c>
      <c r="G27" s="168">
        <v>2124732</v>
      </c>
      <c r="H27" s="111">
        <f>_xlfn.COMPOUNDVALUE(68)</f>
        <v>149</v>
      </c>
      <c r="I27" s="170">
        <v>226923</v>
      </c>
      <c r="J27" s="111">
        <v>457</v>
      </c>
      <c r="K27" s="113">
        <v>124624</v>
      </c>
      <c r="L27" s="111">
        <v>4087</v>
      </c>
      <c r="M27" s="113">
        <v>2022433</v>
      </c>
      <c r="N27" s="24" t="s">
        <v>112</v>
      </c>
    </row>
    <row r="28" spans="1:14" s="17" customFormat="1" ht="15.75" customHeight="1">
      <c r="A28" s="13" t="s">
        <v>37</v>
      </c>
      <c r="B28" s="114">
        <f>_xlfn.COMPOUNDVALUE(69)</f>
        <v>850</v>
      </c>
      <c r="C28" s="169">
        <v>676487</v>
      </c>
      <c r="D28" s="114">
        <f>_xlfn.COMPOUNDVALUE(70)</f>
        <v>1154</v>
      </c>
      <c r="E28" s="169">
        <v>626063</v>
      </c>
      <c r="F28" s="114">
        <f>_xlfn.COMPOUNDVALUE(71)</f>
        <v>2004</v>
      </c>
      <c r="G28" s="169">
        <v>1302550</v>
      </c>
      <c r="H28" s="114">
        <f>_xlfn.COMPOUNDVALUE(72)</f>
        <v>57</v>
      </c>
      <c r="I28" s="171">
        <v>47473</v>
      </c>
      <c r="J28" s="114">
        <v>215</v>
      </c>
      <c r="K28" s="116">
        <v>29498</v>
      </c>
      <c r="L28" s="114">
        <v>2134</v>
      </c>
      <c r="M28" s="116">
        <v>1284574</v>
      </c>
      <c r="N28" s="14" t="s">
        <v>113</v>
      </c>
    </row>
    <row r="29" spans="1:14" s="17" customFormat="1" ht="15.75" customHeight="1">
      <c r="A29" s="13" t="s">
        <v>38</v>
      </c>
      <c r="B29" s="114">
        <f>_xlfn.COMPOUNDVALUE(73)</f>
        <v>881</v>
      </c>
      <c r="C29" s="169">
        <v>555665</v>
      </c>
      <c r="D29" s="114">
        <f>_xlfn.COMPOUNDVALUE(74)</f>
        <v>1492</v>
      </c>
      <c r="E29" s="169">
        <v>609606</v>
      </c>
      <c r="F29" s="114">
        <f>_xlfn.COMPOUNDVALUE(75)</f>
        <v>2373</v>
      </c>
      <c r="G29" s="169">
        <v>1165271</v>
      </c>
      <c r="H29" s="114">
        <f>_xlfn.COMPOUNDVALUE(76)</f>
        <v>56</v>
      </c>
      <c r="I29" s="171">
        <v>78392</v>
      </c>
      <c r="J29" s="114">
        <v>296</v>
      </c>
      <c r="K29" s="116">
        <v>23195</v>
      </c>
      <c r="L29" s="114">
        <v>2517</v>
      </c>
      <c r="M29" s="116">
        <v>1110074</v>
      </c>
      <c r="N29" s="14" t="s">
        <v>114</v>
      </c>
    </row>
    <row r="30" spans="1:14" s="17" customFormat="1" ht="15.75" customHeight="1">
      <c r="A30" s="13" t="s">
        <v>39</v>
      </c>
      <c r="B30" s="114">
        <f>_xlfn.COMPOUNDVALUE(77)</f>
        <v>735</v>
      </c>
      <c r="C30" s="169">
        <v>570311</v>
      </c>
      <c r="D30" s="114">
        <f>_xlfn.COMPOUNDVALUE(78)</f>
        <v>1465</v>
      </c>
      <c r="E30" s="169">
        <v>568181</v>
      </c>
      <c r="F30" s="114">
        <f>_xlfn.COMPOUNDVALUE(79)</f>
        <v>2200</v>
      </c>
      <c r="G30" s="169">
        <v>1138492</v>
      </c>
      <c r="H30" s="114">
        <f>_xlfn.COMPOUNDVALUE(80)</f>
        <v>89</v>
      </c>
      <c r="I30" s="171">
        <v>70306</v>
      </c>
      <c r="J30" s="114">
        <v>174</v>
      </c>
      <c r="K30" s="116">
        <v>40004</v>
      </c>
      <c r="L30" s="114">
        <v>2372</v>
      </c>
      <c r="M30" s="116">
        <v>1108190</v>
      </c>
      <c r="N30" s="14" t="s">
        <v>115</v>
      </c>
    </row>
    <row r="31" spans="1:14" s="17" customFormat="1" ht="15.75" customHeight="1">
      <c r="A31" s="13" t="s">
        <v>40</v>
      </c>
      <c r="B31" s="114">
        <f>_xlfn.COMPOUNDVALUE(81)</f>
        <v>470</v>
      </c>
      <c r="C31" s="169">
        <v>267696</v>
      </c>
      <c r="D31" s="114">
        <f>_xlfn.COMPOUNDVALUE(82)</f>
        <v>720</v>
      </c>
      <c r="E31" s="169">
        <v>267251</v>
      </c>
      <c r="F31" s="114">
        <f>_xlfn.COMPOUNDVALUE(83)</f>
        <v>1190</v>
      </c>
      <c r="G31" s="169">
        <v>534947</v>
      </c>
      <c r="H31" s="114">
        <f>_xlfn.COMPOUNDVALUE(84)</f>
        <v>44</v>
      </c>
      <c r="I31" s="171">
        <v>12910</v>
      </c>
      <c r="J31" s="114">
        <v>129</v>
      </c>
      <c r="K31" s="116">
        <v>24738</v>
      </c>
      <c r="L31" s="114">
        <v>1281</v>
      </c>
      <c r="M31" s="116">
        <v>546774</v>
      </c>
      <c r="N31" s="14" t="s">
        <v>116</v>
      </c>
    </row>
    <row r="32" spans="1:14" s="17" customFormat="1" ht="15.75" customHeight="1">
      <c r="A32" s="13" t="s">
        <v>41</v>
      </c>
      <c r="B32" s="114">
        <f>_xlfn.COMPOUNDVALUE(85)</f>
        <v>749</v>
      </c>
      <c r="C32" s="169">
        <v>383799</v>
      </c>
      <c r="D32" s="114">
        <f>_xlfn.COMPOUNDVALUE(86)</f>
        <v>1224</v>
      </c>
      <c r="E32" s="169">
        <v>455260</v>
      </c>
      <c r="F32" s="114">
        <f>_xlfn.COMPOUNDVALUE(87)</f>
        <v>1973</v>
      </c>
      <c r="G32" s="169">
        <v>839058</v>
      </c>
      <c r="H32" s="114">
        <f>_xlfn.COMPOUNDVALUE(88)</f>
        <v>89</v>
      </c>
      <c r="I32" s="171">
        <v>33464</v>
      </c>
      <c r="J32" s="114">
        <v>180</v>
      </c>
      <c r="K32" s="116">
        <v>26399</v>
      </c>
      <c r="L32" s="114">
        <v>2115</v>
      </c>
      <c r="M32" s="116">
        <v>831994</v>
      </c>
      <c r="N32" s="14" t="s">
        <v>117</v>
      </c>
    </row>
    <row r="33" spans="1:14" s="17" customFormat="1" ht="15.75" customHeight="1">
      <c r="A33" s="13" t="s">
        <v>42</v>
      </c>
      <c r="B33" s="172">
        <f>_xlfn.COMPOUNDVALUE(89)</f>
        <v>339</v>
      </c>
      <c r="C33" s="169">
        <v>229314</v>
      </c>
      <c r="D33" s="114">
        <f>_xlfn.COMPOUNDVALUE(90)</f>
        <v>543</v>
      </c>
      <c r="E33" s="169">
        <v>181349</v>
      </c>
      <c r="F33" s="172">
        <f>_xlfn.COMPOUNDVALUE(91)</f>
        <v>882</v>
      </c>
      <c r="G33" s="169">
        <v>410662</v>
      </c>
      <c r="H33" s="172">
        <f>_xlfn.COMPOUNDVALUE(92)</f>
        <v>37</v>
      </c>
      <c r="I33" s="171">
        <v>12992</v>
      </c>
      <c r="J33" s="114">
        <v>65</v>
      </c>
      <c r="K33" s="116">
        <v>16287</v>
      </c>
      <c r="L33" s="114">
        <v>942</v>
      </c>
      <c r="M33" s="116">
        <v>413957</v>
      </c>
      <c r="N33" s="14" t="s">
        <v>118</v>
      </c>
    </row>
    <row r="34" spans="1:14" s="17" customFormat="1" ht="15.75" customHeight="1">
      <c r="A34" s="13" t="s">
        <v>43</v>
      </c>
      <c r="B34" s="172">
        <f>_xlfn.COMPOUNDVALUE(93)</f>
        <v>515</v>
      </c>
      <c r="C34" s="169">
        <v>279777</v>
      </c>
      <c r="D34" s="114">
        <f>_xlfn.COMPOUNDVALUE(94)</f>
        <v>739</v>
      </c>
      <c r="E34" s="169">
        <v>274428</v>
      </c>
      <c r="F34" s="172">
        <f>_xlfn.COMPOUNDVALUE(95)</f>
        <v>1254</v>
      </c>
      <c r="G34" s="169">
        <v>554205</v>
      </c>
      <c r="H34" s="172">
        <f>_xlfn.COMPOUNDVALUE(96)</f>
        <v>80</v>
      </c>
      <c r="I34" s="171">
        <v>42136</v>
      </c>
      <c r="J34" s="114">
        <v>101</v>
      </c>
      <c r="K34" s="116">
        <v>14224</v>
      </c>
      <c r="L34" s="114">
        <v>1378</v>
      </c>
      <c r="M34" s="116">
        <v>526293</v>
      </c>
      <c r="N34" s="14" t="s">
        <v>119</v>
      </c>
    </row>
    <row r="35" spans="1:14" s="17" customFormat="1" ht="15.75" customHeight="1">
      <c r="A35" s="13" t="s">
        <v>44</v>
      </c>
      <c r="B35" s="172">
        <f>_xlfn.COMPOUNDVALUE(97)</f>
        <v>298</v>
      </c>
      <c r="C35" s="169">
        <v>152434</v>
      </c>
      <c r="D35" s="114">
        <f>_xlfn.COMPOUNDVALUE(98)</f>
        <v>403</v>
      </c>
      <c r="E35" s="169">
        <v>151362</v>
      </c>
      <c r="F35" s="172">
        <f>_xlfn.COMPOUNDVALUE(99)</f>
        <v>701</v>
      </c>
      <c r="G35" s="169">
        <v>303796</v>
      </c>
      <c r="H35" s="172">
        <f>_xlfn.COMPOUNDVALUE(100)</f>
        <v>40</v>
      </c>
      <c r="I35" s="171">
        <v>29531</v>
      </c>
      <c r="J35" s="114">
        <v>50</v>
      </c>
      <c r="K35" s="116">
        <v>-58</v>
      </c>
      <c r="L35" s="114">
        <v>756</v>
      </c>
      <c r="M35" s="116">
        <v>274208</v>
      </c>
      <c r="N35" s="14" t="s">
        <v>120</v>
      </c>
    </row>
    <row r="36" spans="1:14" s="17" customFormat="1" ht="15.75" customHeight="1">
      <c r="A36" s="13" t="s">
        <v>45</v>
      </c>
      <c r="B36" s="172">
        <f>_xlfn.COMPOUNDVALUE(101)</f>
        <v>424</v>
      </c>
      <c r="C36" s="169">
        <v>237082</v>
      </c>
      <c r="D36" s="114">
        <f>_xlfn.COMPOUNDVALUE(102)</f>
        <v>589</v>
      </c>
      <c r="E36" s="169">
        <v>215429</v>
      </c>
      <c r="F36" s="172">
        <f>_xlfn.COMPOUNDVALUE(103)</f>
        <v>1013</v>
      </c>
      <c r="G36" s="169">
        <v>452510</v>
      </c>
      <c r="H36" s="172">
        <f>_xlfn.COMPOUNDVALUE(104)</f>
        <v>49</v>
      </c>
      <c r="I36" s="171">
        <v>32320</v>
      </c>
      <c r="J36" s="114">
        <v>97</v>
      </c>
      <c r="K36" s="116">
        <v>22216</v>
      </c>
      <c r="L36" s="114">
        <v>1095</v>
      </c>
      <c r="M36" s="116">
        <v>442406</v>
      </c>
      <c r="N36" s="14" t="s">
        <v>121</v>
      </c>
    </row>
    <row r="37" spans="1:14" s="17" customFormat="1" ht="15.75" customHeight="1">
      <c r="A37" s="15" t="s">
        <v>46</v>
      </c>
      <c r="B37" s="173">
        <v>7038</v>
      </c>
      <c r="C37" s="118">
        <v>4520571</v>
      </c>
      <c r="D37" s="117">
        <v>10306</v>
      </c>
      <c r="E37" s="118">
        <v>4305652</v>
      </c>
      <c r="F37" s="173">
        <v>17344</v>
      </c>
      <c r="G37" s="118">
        <v>8826223</v>
      </c>
      <c r="H37" s="173">
        <v>690</v>
      </c>
      <c r="I37" s="119">
        <v>586445</v>
      </c>
      <c r="J37" s="117">
        <v>1764</v>
      </c>
      <c r="K37" s="119">
        <v>321125</v>
      </c>
      <c r="L37" s="117">
        <v>18677</v>
      </c>
      <c r="M37" s="119">
        <v>8560903</v>
      </c>
      <c r="N37" s="16" t="s">
        <v>122</v>
      </c>
    </row>
    <row r="38" spans="1:14" s="17" customFormat="1" ht="15.75" customHeight="1">
      <c r="A38" s="91"/>
      <c r="B38" s="120"/>
      <c r="C38" s="121"/>
      <c r="D38" s="120"/>
      <c r="E38" s="121"/>
      <c r="F38" s="122"/>
      <c r="G38" s="121"/>
      <c r="H38" s="122"/>
      <c r="I38" s="121"/>
      <c r="J38" s="122"/>
      <c r="K38" s="121"/>
      <c r="L38" s="122"/>
      <c r="M38" s="121"/>
      <c r="N38" s="92"/>
    </row>
    <row r="39" spans="1:14" s="17" customFormat="1" ht="15.75" customHeight="1">
      <c r="A39" s="11" t="s">
        <v>47</v>
      </c>
      <c r="B39" s="111">
        <f>_xlfn.COMPOUNDVALUE(105)</f>
        <v>625</v>
      </c>
      <c r="C39" s="168">
        <v>389345</v>
      </c>
      <c r="D39" s="111">
        <f>_xlfn.COMPOUNDVALUE(106)</f>
        <v>907</v>
      </c>
      <c r="E39" s="168">
        <v>406489</v>
      </c>
      <c r="F39" s="111">
        <f>_xlfn.COMPOUNDVALUE(107)</f>
        <v>1532</v>
      </c>
      <c r="G39" s="168">
        <v>795833</v>
      </c>
      <c r="H39" s="111">
        <f>_xlfn.COMPOUNDVALUE(108)</f>
        <v>26</v>
      </c>
      <c r="I39" s="170">
        <v>9871</v>
      </c>
      <c r="J39" s="111">
        <v>178</v>
      </c>
      <c r="K39" s="113">
        <v>44475</v>
      </c>
      <c r="L39" s="111">
        <v>1608</v>
      </c>
      <c r="M39" s="113">
        <v>830437</v>
      </c>
      <c r="N39" s="12" t="s">
        <v>123</v>
      </c>
    </row>
    <row r="40" spans="1:14" s="17" customFormat="1" ht="15.75" customHeight="1">
      <c r="A40" s="13" t="s">
        <v>48</v>
      </c>
      <c r="B40" s="114">
        <f>_xlfn.COMPOUNDVALUE(109)</f>
        <v>431</v>
      </c>
      <c r="C40" s="169">
        <v>224266</v>
      </c>
      <c r="D40" s="114">
        <f>_xlfn.COMPOUNDVALUE(110)</f>
        <v>1172</v>
      </c>
      <c r="E40" s="169">
        <v>398206</v>
      </c>
      <c r="F40" s="114">
        <f>_xlfn.COMPOUNDVALUE(111)</f>
        <v>1603</v>
      </c>
      <c r="G40" s="169">
        <v>622473</v>
      </c>
      <c r="H40" s="114">
        <f>_xlfn.COMPOUNDVALUE(112)</f>
        <v>31</v>
      </c>
      <c r="I40" s="171">
        <v>51503</v>
      </c>
      <c r="J40" s="114">
        <v>116</v>
      </c>
      <c r="K40" s="116">
        <v>17015</v>
      </c>
      <c r="L40" s="114">
        <v>1669</v>
      </c>
      <c r="M40" s="116">
        <v>587985</v>
      </c>
      <c r="N40" s="14" t="s">
        <v>124</v>
      </c>
    </row>
    <row r="41" spans="1:14" s="17" customFormat="1" ht="15.75" customHeight="1">
      <c r="A41" s="13" t="s">
        <v>49</v>
      </c>
      <c r="B41" s="114">
        <f>_xlfn.COMPOUNDVALUE(113)</f>
        <v>287</v>
      </c>
      <c r="C41" s="169">
        <v>183785</v>
      </c>
      <c r="D41" s="114">
        <f>_xlfn.COMPOUNDVALUE(114)</f>
        <v>649</v>
      </c>
      <c r="E41" s="169">
        <v>220254</v>
      </c>
      <c r="F41" s="114">
        <f>_xlfn.COMPOUNDVALUE(115)</f>
        <v>936</v>
      </c>
      <c r="G41" s="169">
        <v>404039</v>
      </c>
      <c r="H41" s="114">
        <f>_xlfn.COMPOUNDVALUE(116)</f>
        <v>23</v>
      </c>
      <c r="I41" s="171">
        <v>19033</v>
      </c>
      <c r="J41" s="114">
        <v>40</v>
      </c>
      <c r="K41" s="116">
        <v>6839</v>
      </c>
      <c r="L41" s="114">
        <v>970</v>
      </c>
      <c r="M41" s="116">
        <v>391844</v>
      </c>
      <c r="N41" s="14" t="s">
        <v>125</v>
      </c>
    </row>
    <row r="42" spans="1:14" s="17" customFormat="1" ht="15.75" customHeight="1">
      <c r="A42" s="13" t="s">
        <v>50</v>
      </c>
      <c r="B42" s="114">
        <f>_xlfn.COMPOUNDVALUE(117)</f>
        <v>283</v>
      </c>
      <c r="C42" s="169">
        <v>144186</v>
      </c>
      <c r="D42" s="114">
        <f>_xlfn.COMPOUNDVALUE(118)</f>
        <v>589</v>
      </c>
      <c r="E42" s="169">
        <v>212987</v>
      </c>
      <c r="F42" s="114">
        <f>_xlfn.COMPOUNDVALUE(119)</f>
        <v>872</v>
      </c>
      <c r="G42" s="169">
        <v>357173</v>
      </c>
      <c r="H42" s="114">
        <f>_xlfn.COMPOUNDVALUE(120)</f>
        <v>22</v>
      </c>
      <c r="I42" s="171">
        <v>8427</v>
      </c>
      <c r="J42" s="114">
        <v>57</v>
      </c>
      <c r="K42" s="116">
        <v>21613</v>
      </c>
      <c r="L42" s="114">
        <v>908</v>
      </c>
      <c r="M42" s="116">
        <v>370359</v>
      </c>
      <c r="N42" s="14" t="s">
        <v>126</v>
      </c>
    </row>
    <row r="43" spans="1:14" s="17" customFormat="1" ht="15.75" customHeight="1">
      <c r="A43" s="13" t="s">
        <v>51</v>
      </c>
      <c r="B43" s="114">
        <f>_xlfn.COMPOUNDVALUE(121)</f>
        <v>369</v>
      </c>
      <c r="C43" s="169">
        <v>220899</v>
      </c>
      <c r="D43" s="114">
        <f>_xlfn.COMPOUNDVALUE(122)</f>
        <v>694</v>
      </c>
      <c r="E43" s="169">
        <v>265199</v>
      </c>
      <c r="F43" s="114">
        <f>_xlfn.COMPOUNDVALUE(123)</f>
        <v>1063</v>
      </c>
      <c r="G43" s="169">
        <v>486098</v>
      </c>
      <c r="H43" s="114">
        <f>_xlfn.COMPOUNDVALUE(124)</f>
        <v>32</v>
      </c>
      <c r="I43" s="171">
        <v>8109</v>
      </c>
      <c r="J43" s="114">
        <v>112</v>
      </c>
      <c r="K43" s="116">
        <v>17664</v>
      </c>
      <c r="L43" s="114">
        <v>1119</v>
      </c>
      <c r="M43" s="116">
        <v>495652</v>
      </c>
      <c r="N43" s="14" t="s">
        <v>127</v>
      </c>
    </row>
    <row r="44" spans="1:14" s="17" customFormat="1" ht="15.75" customHeight="1">
      <c r="A44" s="13" t="s">
        <v>52</v>
      </c>
      <c r="B44" s="114">
        <f>_xlfn.COMPOUNDVALUE(125)</f>
        <v>344</v>
      </c>
      <c r="C44" s="169">
        <v>219494</v>
      </c>
      <c r="D44" s="114">
        <f>_xlfn.COMPOUNDVALUE(126)</f>
        <v>587</v>
      </c>
      <c r="E44" s="169">
        <v>216399</v>
      </c>
      <c r="F44" s="114">
        <f>_xlfn.COMPOUNDVALUE(127)</f>
        <v>931</v>
      </c>
      <c r="G44" s="169">
        <v>435893</v>
      </c>
      <c r="H44" s="114">
        <f>_xlfn.COMPOUNDVALUE(128)</f>
        <v>28</v>
      </c>
      <c r="I44" s="171">
        <v>10703</v>
      </c>
      <c r="J44" s="114">
        <v>54</v>
      </c>
      <c r="K44" s="116">
        <v>3493</v>
      </c>
      <c r="L44" s="114">
        <v>967</v>
      </c>
      <c r="M44" s="116">
        <v>428683</v>
      </c>
      <c r="N44" s="14" t="s">
        <v>128</v>
      </c>
    </row>
    <row r="45" spans="1:14" s="17" customFormat="1" ht="15.75" customHeight="1">
      <c r="A45" s="13" t="s">
        <v>53</v>
      </c>
      <c r="B45" s="114">
        <f>_xlfn.COMPOUNDVALUE(129)</f>
        <v>262</v>
      </c>
      <c r="C45" s="169">
        <v>146455</v>
      </c>
      <c r="D45" s="114">
        <f>_xlfn.COMPOUNDVALUE(130)</f>
        <v>386</v>
      </c>
      <c r="E45" s="169">
        <v>145924</v>
      </c>
      <c r="F45" s="114">
        <f>_xlfn.COMPOUNDVALUE(131)</f>
        <v>648</v>
      </c>
      <c r="G45" s="169">
        <v>292378</v>
      </c>
      <c r="H45" s="114">
        <f>_xlfn.COMPOUNDVALUE(132)</f>
        <v>30</v>
      </c>
      <c r="I45" s="171">
        <v>25294</v>
      </c>
      <c r="J45" s="114">
        <v>40</v>
      </c>
      <c r="K45" s="116">
        <v>6624</v>
      </c>
      <c r="L45" s="114">
        <v>703</v>
      </c>
      <c r="M45" s="116">
        <v>273709</v>
      </c>
      <c r="N45" s="14" t="s">
        <v>129</v>
      </c>
    </row>
    <row r="46" spans="1:14" s="17" customFormat="1" ht="15.75" customHeight="1">
      <c r="A46" s="13" t="s">
        <v>54</v>
      </c>
      <c r="B46" s="114">
        <f>_xlfn.COMPOUNDVALUE(133)</f>
        <v>395</v>
      </c>
      <c r="C46" s="169">
        <v>223417</v>
      </c>
      <c r="D46" s="114">
        <f>_xlfn.COMPOUNDVALUE(134)</f>
        <v>879</v>
      </c>
      <c r="E46" s="169">
        <v>318152</v>
      </c>
      <c r="F46" s="114">
        <f>_xlfn.COMPOUNDVALUE(135)</f>
        <v>1274</v>
      </c>
      <c r="G46" s="169">
        <v>541569</v>
      </c>
      <c r="H46" s="114">
        <f>_xlfn.COMPOUNDVALUE(136)</f>
        <v>26</v>
      </c>
      <c r="I46" s="171">
        <v>11790</v>
      </c>
      <c r="J46" s="114">
        <v>117</v>
      </c>
      <c r="K46" s="116">
        <v>9195</v>
      </c>
      <c r="L46" s="114">
        <v>1306</v>
      </c>
      <c r="M46" s="116">
        <v>538975</v>
      </c>
      <c r="N46" s="14" t="s">
        <v>130</v>
      </c>
    </row>
    <row r="47" spans="1:14" s="17" customFormat="1" ht="15.75" customHeight="1">
      <c r="A47" s="15" t="s">
        <v>55</v>
      </c>
      <c r="B47" s="117">
        <v>2996</v>
      </c>
      <c r="C47" s="118">
        <v>1751846</v>
      </c>
      <c r="D47" s="117">
        <v>5863</v>
      </c>
      <c r="E47" s="118">
        <v>2183610</v>
      </c>
      <c r="F47" s="117">
        <v>8859</v>
      </c>
      <c r="G47" s="118">
        <v>3935456</v>
      </c>
      <c r="H47" s="117">
        <v>218</v>
      </c>
      <c r="I47" s="119">
        <v>144729</v>
      </c>
      <c r="J47" s="117">
        <v>714</v>
      </c>
      <c r="K47" s="119">
        <v>126917</v>
      </c>
      <c r="L47" s="117">
        <v>9250</v>
      </c>
      <c r="M47" s="119">
        <v>3917643</v>
      </c>
      <c r="N47" s="16" t="s">
        <v>131</v>
      </c>
    </row>
    <row r="48" spans="1:15" s="17" customFormat="1" ht="15.75" customHeight="1">
      <c r="A48" s="23"/>
      <c r="B48" s="152"/>
      <c r="C48" s="150"/>
      <c r="D48" s="146"/>
      <c r="E48" s="150"/>
      <c r="F48" s="155"/>
      <c r="G48" s="146"/>
      <c r="H48" s="152"/>
      <c r="I48" s="154"/>
      <c r="J48" s="152"/>
      <c r="K48" s="150"/>
      <c r="L48" s="146"/>
      <c r="M48" s="150"/>
      <c r="N48" s="148"/>
      <c r="O48" s="153"/>
    </row>
    <row r="49" spans="1:14" s="17" customFormat="1" ht="15.75" customHeight="1">
      <c r="A49" s="11" t="s">
        <v>56</v>
      </c>
      <c r="B49" s="111">
        <f>_xlfn.COMPOUNDVALUE(137)</f>
        <v>966</v>
      </c>
      <c r="C49" s="168">
        <v>570745</v>
      </c>
      <c r="D49" s="111">
        <f>_xlfn.COMPOUNDVALUE(138)</f>
        <v>2073</v>
      </c>
      <c r="E49" s="168">
        <v>821730</v>
      </c>
      <c r="F49" s="111">
        <f>_xlfn.COMPOUNDVALUE(139)</f>
        <v>3039</v>
      </c>
      <c r="G49" s="168">
        <v>1392475</v>
      </c>
      <c r="H49" s="111">
        <f>_xlfn.COMPOUNDVALUE(140)</f>
        <v>59</v>
      </c>
      <c r="I49" s="170">
        <v>46155</v>
      </c>
      <c r="J49" s="111">
        <v>207</v>
      </c>
      <c r="K49" s="113">
        <v>31816</v>
      </c>
      <c r="L49" s="111">
        <v>3184</v>
      </c>
      <c r="M49" s="113">
        <v>1378136</v>
      </c>
      <c r="N49" s="24" t="s">
        <v>132</v>
      </c>
    </row>
    <row r="50" spans="1:14" s="17" customFormat="1" ht="15.75" customHeight="1">
      <c r="A50" s="13" t="s">
        <v>57</v>
      </c>
      <c r="B50" s="114">
        <f>_xlfn.COMPOUNDVALUE(141)</f>
        <v>531</v>
      </c>
      <c r="C50" s="169">
        <v>317369</v>
      </c>
      <c r="D50" s="114">
        <f>_xlfn.COMPOUNDVALUE(142)</f>
        <v>1007</v>
      </c>
      <c r="E50" s="169">
        <v>349270</v>
      </c>
      <c r="F50" s="114">
        <f>_xlfn.COMPOUNDVALUE(143)</f>
        <v>1538</v>
      </c>
      <c r="G50" s="169">
        <v>666639</v>
      </c>
      <c r="H50" s="114">
        <f>_xlfn.COMPOUNDVALUE(144)</f>
        <v>43</v>
      </c>
      <c r="I50" s="171">
        <v>15718</v>
      </c>
      <c r="J50" s="114">
        <v>111</v>
      </c>
      <c r="K50" s="116">
        <v>14791</v>
      </c>
      <c r="L50" s="114">
        <v>1625</v>
      </c>
      <c r="M50" s="116">
        <v>665712</v>
      </c>
      <c r="N50" s="14" t="s">
        <v>133</v>
      </c>
    </row>
    <row r="51" spans="1:14" s="17" customFormat="1" ht="15.75" customHeight="1">
      <c r="A51" s="13" t="s">
        <v>58</v>
      </c>
      <c r="B51" s="114">
        <f>_xlfn.COMPOUNDVALUE(145)</f>
        <v>499</v>
      </c>
      <c r="C51" s="169">
        <v>325812</v>
      </c>
      <c r="D51" s="114">
        <f>_xlfn.COMPOUNDVALUE(146)</f>
        <v>1275</v>
      </c>
      <c r="E51" s="169">
        <v>433687</v>
      </c>
      <c r="F51" s="114">
        <f>_xlfn.COMPOUNDVALUE(147)</f>
        <v>1774</v>
      </c>
      <c r="G51" s="169">
        <v>759499</v>
      </c>
      <c r="H51" s="114">
        <f>_xlfn.COMPOUNDVALUE(148)</f>
        <v>42</v>
      </c>
      <c r="I51" s="171">
        <v>14476</v>
      </c>
      <c r="J51" s="114">
        <v>113</v>
      </c>
      <c r="K51" s="116">
        <v>20135</v>
      </c>
      <c r="L51" s="114">
        <v>1861</v>
      </c>
      <c r="M51" s="116">
        <v>765157</v>
      </c>
      <c r="N51" s="14" t="s">
        <v>134</v>
      </c>
    </row>
    <row r="52" spans="1:14" s="17" customFormat="1" ht="15.75" customHeight="1">
      <c r="A52" s="13" t="s">
        <v>59</v>
      </c>
      <c r="B52" s="114">
        <f>_xlfn.COMPOUNDVALUE(149)</f>
        <v>346</v>
      </c>
      <c r="C52" s="169">
        <v>195784</v>
      </c>
      <c r="D52" s="114">
        <f>_xlfn.COMPOUNDVALUE(150)</f>
        <v>799</v>
      </c>
      <c r="E52" s="169">
        <v>266256</v>
      </c>
      <c r="F52" s="114">
        <f>_xlfn.COMPOUNDVALUE(151)</f>
        <v>1145</v>
      </c>
      <c r="G52" s="169">
        <v>462040</v>
      </c>
      <c r="H52" s="114">
        <f>_xlfn.COMPOUNDVALUE(152)</f>
        <v>23</v>
      </c>
      <c r="I52" s="171">
        <v>6813</v>
      </c>
      <c r="J52" s="114">
        <v>73</v>
      </c>
      <c r="K52" s="116">
        <v>5094</v>
      </c>
      <c r="L52" s="114">
        <v>1189</v>
      </c>
      <c r="M52" s="116">
        <v>460321</v>
      </c>
      <c r="N52" s="14" t="s">
        <v>135</v>
      </c>
    </row>
    <row r="53" spans="1:14" s="17" customFormat="1" ht="15.75" customHeight="1">
      <c r="A53" s="13" t="s">
        <v>60</v>
      </c>
      <c r="B53" s="114">
        <f>_xlfn.COMPOUNDVALUE(153)</f>
        <v>324</v>
      </c>
      <c r="C53" s="169">
        <v>206211</v>
      </c>
      <c r="D53" s="114">
        <f>_xlfn.COMPOUNDVALUE(154)</f>
        <v>683</v>
      </c>
      <c r="E53" s="169">
        <v>258196</v>
      </c>
      <c r="F53" s="114">
        <f>_xlfn.COMPOUNDVALUE(155)</f>
        <v>1007</v>
      </c>
      <c r="G53" s="169">
        <v>464407</v>
      </c>
      <c r="H53" s="114">
        <f>_xlfn.COMPOUNDVALUE(156)</f>
        <v>26</v>
      </c>
      <c r="I53" s="171">
        <v>11288</v>
      </c>
      <c r="J53" s="114">
        <v>52</v>
      </c>
      <c r="K53" s="116">
        <v>5541</v>
      </c>
      <c r="L53" s="114">
        <v>1049</v>
      </c>
      <c r="M53" s="116">
        <v>458661</v>
      </c>
      <c r="N53" s="14" t="s">
        <v>136</v>
      </c>
    </row>
    <row r="54" spans="1:14" s="17" customFormat="1" ht="15.75" customHeight="1">
      <c r="A54" s="13" t="s">
        <v>61</v>
      </c>
      <c r="B54" s="114">
        <f>_xlfn.COMPOUNDVALUE(157)</f>
        <v>259</v>
      </c>
      <c r="C54" s="169">
        <v>142165</v>
      </c>
      <c r="D54" s="114">
        <f>_xlfn.COMPOUNDVALUE(158)</f>
        <v>635</v>
      </c>
      <c r="E54" s="169">
        <v>237155</v>
      </c>
      <c r="F54" s="114">
        <f>_xlfn.COMPOUNDVALUE(159)</f>
        <v>894</v>
      </c>
      <c r="G54" s="169">
        <v>379320</v>
      </c>
      <c r="H54" s="114">
        <f>_xlfn.COMPOUNDVALUE(160)</f>
        <v>17</v>
      </c>
      <c r="I54" s="171">
        <v>17457</v>
      </c>
      <c r="J54" s="114">
        <v>59</v>
      </c>
      <c r="K54" s="116">
        <v>11300</v>
      </c>
      <c r="L54" s="114">
        <v>941</v>
      </c>
      <c r="M54" s="116">
        <v>373163</v>
      </c>
      <c r="N54" s="14" t="s">
        <v>137</v>
      </c>
    </row>
    <row r="55" spans="1:14" s="17" customFormat="1" ht="15.75" customHeight="1">
      <c r="A55" s="13" t="s">
        <v>62</v>
      </c>
      <c r="B55" s="114">
        <f>_xlfn.COMPOUNDVALUE(161)</f>
        <v>431</v>
      </c>
      <c r="C55" s="169">
        <v>258767</v>
      </c>
      <c r="D55" s="114">
        <f>_xlfn.COMPOUNDVALUE(162)</f>
        <v>833</v>
      </c>
      <c r="E55" s="169">
        <v>297176</v>
      </c>
      <c r="F55" s="114">
        <f>_xlfn.COMPOUNDVALUE(163)</f>
        <v>1264</v>
      </c>
      <c r="G55" s="169">
        <v>555943</v>
      </c>
      <c r="H55" s="114">
        <f>_xlfn.COMPOUNDVALUE(164)</f>
        <v>32</v>
      </c>
      <c r="I55" s="171">
        <v>7592</v>
      </c>
      <c r="J55" s="114">
        <v>198</v>
      </c>
      <c r="K55" s="116">
        <v>40735</v>
      </c>
      <c r="L55" s="114">
        <v>1362</v>
      </c>
      <c r="M55" s="116">
        <v>589086</v>
      </c>
      <c r="N55" s="14" t="s">
        <v>138</v>
      </c>
    </row>
    <row r="56" spans="1:14" s="17" customFormat="1" ht="15.75" customHeight="1">
      <c r="A56" s="13" t="s">
        <v>63</v>
      </c>
      <c r="B56" s="114">
        <f>_xlfn.COMPOUNDVALUE(165)</f>
        <v>245</v>
      </c>
      <c r="C56" s="169">
        <v>159850</v>
      </c>
      <c r="D56" s="114">
        <f>_xlfn.COMPOUNDVALUE(166)</f>
        <v>351</v>
      </c>
      <c r="E56" s="169">
        <v>123551</v>
      </c>
      <c r="F56" s="114">
        <f>_xlfn.COMPOUNDVALUE(167)</f>
        <v>596</v>
      </c>
      <c r="G56" s="169">
        <v>283400</v>
      </c>
      <c r="H56" s="114">
        <f>_xlfn.COMPOUNDVALUE(168)</f>
        <v>34</v>
      </c>
      <c r="I56" s="171">
        <v>16068</v>
      </c>
      <c r="J56" s="114">
        <v>13</v>
      </c>
      <c r="K56" s="116">
        <v>1238</v>
      </c>
      <c r="L56" s="114">
        <v>637</v>
      </c>
      <c r="M56" s="116">
        <v>268571</v>
      </c>
      <c r="N56" s="14" t="s">
        <v>139</v>
      </c>
    </row>
    <row r="57" spans="1:14" s="17" customFormat="1" ht="15.75" customHeight="1">
      <c r="A57" s="15" t="s">
        <v>64</v>
      </c>
      <c r="B57" s="117">
        <v>3601</v>
      </c>
      <c r="C57" s="118">
        <v>2176702</v>
      </c>
      <c r="D57" s="117">
        <v>7656</v>
      </c>
      <c r="E57" s="118">
        <v>2787019</v>
      </c>
      <c r="F57" s="117">
        <v>11257</v>
      </c>
      <c r="G57" s="118">
        <v>4963721</v>
      </c>
      <c r="H57" s="117">
        <v>276</v>
      </c>
      <c r="I57" s="119">
        <v>135566</v>
      </c>
      <c r="J57" s="117">
        <v>826</v>
      </c>
      <c r="K57" s="119">
        <v>130651</v>
      </c>
      <c r="L57" s="117">
        <v>11848</v>
      </c>
      <c r="M57" s="119">
        <v>4958807</v>
      </c>
      <c r="N57" s="16" t="s">
        <v>140</v>
      </c>
    </row>
    <row r="58" spans="1:14" s="17" customFormat="1" ht="15.75" customHeight="1">
      <c r="A58" s="147"/>
      <c r="B58" s="146"/>
      <c r="C58" s="150"/>
      <c r="D58" s="146"/>
      <c r="E58" s="154"/>
      <c r="F58" s="152"/>
      <c r="G58" s="154"/>
      <c r="H58" s="152"/>
      <c r="I58" s="146"/>
      <c r="J58" s="152"/>
      <c r="K58" s="150"/>
      <c r="L58" s="146"/>
      <c r="M58" s="150"/>
      <c r="N58" s="148"/>
    </row>
    <row r="59" spans="1:14" s="17" customFormat="1" ht="15.75" customHeight="1">
      <c r="A59" s="11" t="s">
        <v>65</v>
      </c>
      <c r="B59" s="111">
        <f>_xlfn.COMPOUNDVALUE(169)</f>
        <v>814</v>
      </c>
      <c r="C59" s="168">
        <v>465890</v>
      </c>
      <c r="D59" s="111">
        <f>_xlfn.COMPOUNDVALUE(170)</f>
        <v>1683</v>
      </c>
      <c r="E59" s="168">
        <v>660604</v>
      </c>
      <c r="F59" s="111">
        <f>_xlfn.COMPOUNDVALUE(171)</f>
        <v>2497</v>
      </c>
      <c r="G59" s="168">
        <v>1126494</v>
      </c>
      <c r="H59" s="111">
        <f>_xlfn.COMPOUNDVALUE(172)</f>
        <v>58</v>
      </c>
      <c r="I59" s="170">
        <v>45576</v>
      </c>
      <c r="J59" s="111">
        <v>295</v>
      </c>
      <c r="K59" s="113">
        <v>38540</v>
      </c>
      <c r="L59" s="111">
        <v>2635</v>
      </c>
      <c r="M59" s="113">
        <v>1119458</v>
      </c>
      <c r="N59" s="24" t="s">
        <v>142</v>
      </c>
    </row>
    <row r="60" spans="1:14" s="17" customFormat="1" ht="15.75" customHeight="1">
      <c r="A60" s="11" t="s">
        <v>66</v>
      </c>
      <c r="B60" s="111">
        <f>_xlfn.COMPOUNDVALUE(173)</f>
        <v>483</v>
      </c>
      <c r="C60" s="168">
        <v>292769</v>
      </c>
      <c r="D60" s="111">
        <f>_xlfn.COMPOUNDVALUE(174)</f>
        <v>1084</v>
      </c>
      <c r="E60" s="168">
        <v>400068</v>
      </c>
      <c r="F60" s="111">
        <f>_xlfn.COMPOUNDVALUE(175)</f>
        <v>1567</v>
      </c>
      <c r="G60" s="168">
        <v>692837</v>
      </c>
      <c r="H60" s="111">
        <f>_xlfn.COMPOUNDVALUE(176)</f>
        <v>31</v>
      </c>
      <c r="I60" s="170">
        <v>14584</v>
      </c>
      <c r="J60" s="111">
        <v>132</v>
      </c>
      <c r="K60" s="113">
        <v>32419</v>
      </c>
      <c r="L60" s="111">
        <v>1659</v>
      </c>
      <c r="M60" s="113">
        <v>710672</v>
      </c>
      <c r="N60" s="12" t="s">
        <v>143</v>
      </c>
    </row>
    <row r="61" spans="1:14" s="17" customFormat="1" ht="15.75" customHeight="1">
      <c r="A61" s="11" t="s">
        <v>67</v>
      </c>
      <c r="B61" s="111">
        <f>_xlfn.COMPOUNDVALUE(177)</f>
        <v>903</v>
      </c>
      <c r="C61" s="168">
        <v>534192</v>
      </c>
      <c r="D61" s="111">
        <f>_xlfn.COMPOUNDVALUE(178)</f>
        <v>1625</v>
      </c>
      <c r="E61" s="168">
        <v>668491</v>
      </c>
      <c r="F61" s="111">
        <f>_xlfn.COMPOUNDVALUE(179)</f>
        <v>2528</v>
      </c>
      <c r="G61" s="168">
        <v>1202682</v>
      </c>
      <c r="H61" s="111">
        <f>_xlfn.COMPOUNDVALUE(180)</f>
        <v>122</v>
      </c>
      <c r="I61" s="170">
        <v>99693</v>
      </c>
      <c r="J61" s="111">
        <v>239</v>
      </c>
      <c r="K61" s="113">
        <v>52923</v>
      </c>
      <c r="L61" s="111">
        <v>2726</v>
      </c>
      <c r="M61" s="113">
        <v>1155912</v>
      </c>
      <c r="N61" s="12" t="s">
        <v>144</v>
      </c>
    </row>
    <row r="62" spans="1:14" s="17" customFormat="1" ht="15.75" customHeight="1">
      <c r="A62" s="13" t="s">
        <v>68</v>
      </c>
      <c r="B62" s="114">
        <f>_xlfn.COMPOUNDVALUE(181)</f>
        <v>833</v>
      </c>
      <c r="C62" s="169">
        <v>481451</v>
      </c>
      <c r="D62" s="114">
        <f>_xlfn.COMPOUNDVALUE(182)</f>
        <v>1147</v>
      </c>
      <c r="E62" s="169">
        <v>490400</v>
      </c>
      <c r="F62" s="114">
        <f>_xlfn.COMPOUNDVALUE(183)</f>
        <v>1980</v>
      </c>
      <c r="G62" s="169">
        <v>971850</v>
      </c>
      <c r="H62" s="114">
        <f>_xlfn.COMPOUNDVALUE(184)</f>
        <v>57</v>
      </c>
      <c r="I62" s="171">
        <v>47917</v>
      </c>
      <c r="J62" s="114">
        <v>214</v>
      </c>
      <c r="K62" s="116">
        <v>52100</v>
      </c>
      <c r="L62" s="114">
        <v>2109</v>
      </c>
      <c r="M62" s="116">
        <v>976034</v>
      </c>
      <c r="N62" s="14" t="s">
        <v>68</v>
      </c>
    </row>
    <row r="63" spans="1:14" s="17" customFormat="1" ht="15.75" customHeight="1">
      <c r="A63" s="13" t="s">
        <v>69</v>
      </c>
      <c r="B63" s="114">
        <f>_xlfn.COMPOUNDVALUE(185)</f>
        <v>486</v>
      </c>
      <c r="C63" s="169">
        <v>241539</v>
      </c>
      <c r="D63" s="114">
        <f>_xlfn.COMPOUNDVALUE(186)</f>
        <v>862</v>
      </c>
      <c r="E63" s="169">
        <v>323945</v>
      </c>
      <c r="F63" s="114">
        <f>_xlfn.COMPOUNDVALUE(187)</f>
        <v>1348</v>
      </c>
      <c r="G63" s="169">
        <v>565484</v>
      </c>
      <c r="H63" s="114">
        <f>_xlfn.COMPOUNDVALUE(188)</f>
        <v>45</v>
      </c>
      <c r="I63" s="171">
        <v>36277</v>
      </c>
      <c r="J63" s="114">
        <v>34</v>
      </c>
      <c r="K63" s="116">
        <v>6898</v>
      </c>
      <c r="L63" s="114">
        <v>1406</v>
      </c>
      <c r="M63" s="116">
        <v>536105</v>
      </c>
      <c r="N63" s="14" t="s">
        <v>145</v>
      </c>
    </row>
    <row r="64" spans="1:14" s="17" customFormat="1" ht="15.75" customHeight="1">
      <c r="A64" s="13" t="s">
        <v>70</v>
      </c>
      <c r="B64" s="114">
        <f>_xlfn.COMPOUNDVALUE(189)</f>
        <v>367</v>
      </c>
      <c r="C64" s="169">
        <v>163905</v>
      </c>
      <c r="D64" s="114">
        <f>_xlfn.COMPOUNDVALUE(190)</f>
        <v>783</v>
      </c>
      <c r="E64" s="169">
        <v>276226</v>
      </c>
      <c r="F64" s="114">
        <f>_xlfn.COMPOUNDVALUE(191)</f>
        <v>1150</v>
      </c>
      <c r="G64" s="169">
        <v>440131</v>
      </c>
      <c r="H64" s="114">
        <f>_xlfn.COMPOUNDVALUE(192)</f>
        <v>41</v>
      </c>
      <c r="I64" s="171">
        <v>17062</v>
      </c>
      <c r="J64" s="114">
        <v>91</v>
      </c>
      <c r="K64" s="116">
        <v>14470</v>
      </c>
      <c r="L64" s="114">
        <v>1238</v>
      </c>
      <c r="M64" s="116">
        <v>437539</v>
      </c>
      <c r="N64" s="14" t="s">
        <v>146</v>
      </c>
    </row>
    <row r="65" spans="1:14" s="17" customFormat="1" ht="15.75" customHeight="1">
      <c r="A65" s="13" t="s">
        <v>71</v>
      </c>
      <c r="B65" s="114">
        <f>_xlfn.COMPOUNDVALUE(193)</f>
        <v>203</v>
      </c>
      <c r="C65" s="169">
        <v>83459</v>
      </c>
      <c r="D65" s="114">
        <f>_xlfn.COMPOUNDVALUE(194)</f>
        <v>359</v>
      </c>
      <c r="E65" s="169">
        <v>120541</v>
      </c>
      <c r="F65" s="114">
        <f>_xlfn.COMPOUNDVALUE(195)</f>
        <v>562</v>
      </c>
      <c r="G65" s="169">
        <v>204000</v>
      </c>
      <c r="H65" s="114">
        <f>_xlfn.COMPOUNDVALUE(196)</f>
        <v>11</v>
      </c>
      <c r="I65" s="171">
        <v>4613</v>
      </c>
      <c r="J65" s="114">
        <v>19</v>
      </c>
      <c r="K65" s="116">
        <v>4432</v>
      </c>
      <c r="L65" s="114">
        <v>584</v>
      </c>
      <c r="M65" s="116">
        <v>203819</v>
      </c>
      <c r="N65" s="14" t="s">
        <v>147</v>
      </c>
    </row>
    <row r="66" spans="1:14" s="17" customFormat="1" ht="15.75" customHeight="1">
      <c r="A66" s="13" t="s">
        <v>72</v>
      </c>
      <c r="B66" s="114">
        <f>_xlfn.COMPOUNDVALUE(197)</f>
        <v>555</v>
      </c>
      <c r="C66" s="169">
        <v>389589</v>
      </c>
      <c r="D66" s="114">
        <f>_xlfn.COMPOUNDVALUE(198)</f>
        <v>673</v>
      </c>
      <c r="E66" s="169">
        <v>274649</v>
      </c>
      <c r="F66" s="114">
        <f>_xlfn.COMPOUNDVALUE(199)</f>
        <v>1228</v>
      </c>
      <c r="G66" s="169">
        <v>664238</v>
      </c>
      <c r="H66" s="114">
        <f>_xlfn.COMPOUNDVALUE(200)</f>
        <v>107</v>
      </c>
      <c r="I66" s="171">
        <v>67373</v>
      </c>
      <c r="J66" s="114">
        <v>133</v>
      </c>
      <c r="K66" s="116">
        <v>34746</v>
      </c>
      <c r="L66" s="114">
        <v>1392</v>
      </c>
      <c r="M66" s="116">
        <v>631611</v>
      </c>
      <c r="N66" s="14" t="s">
        <v>148</v>
      </c>
    </row>
    <row r="67" spans="1:14" s="17" customFormat="1" ht="15.75" customHeight="1">
      <c r="A67" s="13" t="s">
        <v>73</v>
      </c>
      <c r="B67" s="114">
        <f>_xlfn.COMPOUNDVALUE(201)</f>
        <v>280</v>
      </c>
      <c r="C67" s="169">
        <v>137071</v>
      </c>
      <c r="D67" s="114">
        <f>_xlfn.COMPOUNDVALUE(202)</f>
        <v>433</v>
      </c>
      <c r="E67" s="169">
        <v>159446</v>
      </c>
      <c r="F67" s="114">
        <f>_xlfn.COMPOUNDVALUE(203)</f>
        <v>713</v>
      </c>
      <c r="G67" s="169">
        <v>296517</v>
      </c>
      <c r="H67" s="114">
        <f>_xlfn.COMPOUNDVALUE(204)</f>
        <v>30</v>
      </c>
      <c r="I67" s="171">
        <v>22020</v>
      </c>
      <c r="J67" s="114">
        <v>34</v>
      </c>
      <c r="K67" s="116">
        <v>-1364</v>
      </c>
      <c r="L67" s="114">
        <v>744</v>
      </c>
      <c r="M67" s="116">
        <v>273133</v>
      </c>
      <c r="N67" s="14" t="s">
        <v>149</v>
      </c>
    </row>
    <row r="68" spans="1:14" s="17" customFormat="1" ht="15.75" customHeight="1">
      <c r="A68" s="13" t="s">
        <v>74</v>
      </c>
      <c r="B68" s="114">
        <f>_xlfn.COMPOUNDVALUE(205)</f>
        <v>101</v>
      </c>
      <c r="C68" s="169">
        <v>68175</v>
      </c>
      <c r="D68" s="114">
        <f>_xlfn.COMPOUNDVALUE(206)</f>
        <v>186</v>
      </c>
      <c r="E68" s="169">
        <v>68033</v>
      </c>
      <c r="F68" s="114">
        <f>_xlfn.COMPOUNDVALUE(207)</f>
        <v>287</v>
      </c>
      <c r="G68" s="169">
        <v>136208</v>
      </c>
      <c r="H68" s="114">
        <f>_xlfn.COMPOUNDVALUE(208)</f>
        <v>6</v>
      </c>
      <c r="I68" s="171">
        <v>9699</v>
      </c>
      <c r="J68" s="114">
        <v>22</v>
      </c>
      <c r="K68" s="116">
        <v>1976</v>
      </c>
      <c r="L68" s="114">
        <v>305</v>
      </c>
      <c r="M68" s="116">
        <v>128485</v>
      </c>
      <c r="N68" s="14" t="s">
        <v>150</v>
      </c>
    </row>
    <row r="69" spans="1:14" s="17" customFormat="1" ht="15.75" customHeight="1">
      <c r="A69" s="15" t="s">
        <v>75</v>
      </c>
      <c r="B69" s="117">
        <v>5025</v>
      </c>
      <c r="C69" s="118">
        <v>2858039</v>
      </c>
      <c r="D69" s="117">
        <v>8835</v>
      </c>
      <c r="E69" s="118">
        <v>3442402</v>
      </c>
      <c r="F69" s="117">
        <v>13860</v>
      </c>
      <c r="G69" s="118">
        <v>6300441</v>
      </c>
      <c r="H69" s="117">
        <v>508</v>
      </c>
      <c r="I69" s="119">
        <v>364814</v>
      </c>
      <c r="J69" s="117">
        <v>1213</v>
      </c>
      <c r="K69" s="119">
        <v>237141</v>
      </c>
      <c r="L69" s="117">
        <v>14798</v>
      </c>
      <c r="M69" s="119">
        <v>6172768</v>
      </c>
      <c r="N69" s="16" t="s">
        <v>151</v>
      </c>
    </row>
    <row r="70" spans="1:15" s="17" customFormat="1" ht="15.75" customHeight="1" thickBot="1">
      <c r="A70" s="18"/>
      <c r="B70" s="123"/>
      <c r="C70" s="124"/>
      <c r="D70" s="123"/>
      <c r="E70" s="124"/>
      <c r="F70" s="125"/>
      <c r="G70" s="124"/>
      <c r="H70" s="125"/>
      <c r="I70" s="124"/>
      <c r="J70" s="125"/>
      <c r="K70" s="124"/>
      <c r="L70" s="125"/>
      <c r="M70" s="124"/>
      <c r="N70" s="19"/>
      <c r="O70" s="36"/>
    </row>
    <row r="71" spans="1:14" s="17" customFormat="1" ht="15.75" customHeight="1" thickBot="1" thickTop="1">
      <c r="A71" s="21" t="s">
        <v>17</v>
      </c>
      <c r="B71" s="174">
        <v>27429</v>
      </c>
      <c r="C71" s="127">
        <v>17027433</v>
      </c>
      <c r="D71" s="126">
        <v>47869</v>
      </c>
      <c r="E71" s="127">
        <v>18410577</v>
      </c>
      <c r="F71" s="174">
        <v>75298</v>
      </c>
      <c r="G71" s="127">
        <v>35438010</v>
      </c>
      <c r="H71" s="174">
        <v>2460</v>
      </c>
      <c r="I71" s="128">
        <v>1700088</v>
      </c>
      <c r="J71" s="126">
        <v>6204</v>
      </c>
      <c r="K71" s="128">
        <v>1118420</v>
      </c>
      <c r="L71" s="126">
        <v>79960</v>
      </c>
      <c r="M71" s="128">
        <v>34856342</v>
      </c>
      <c r="N71" s="22" t="s">
        <v>94</v>
      </c>
    </row>
    <row r="72" spans="1:14" ht="13.5">
      <c r="A72" s="225" t="s">
        <v>234</v>
      </c>
      <c r="B72" s="225"/>
      <c r="C72" s="225"/>
      <c r="D72" s="225"/>
      <c r="E72" s="225"/>
      <c r="F72" s="225"/>
      <c r="G72" s="225"/>
      <c r="H72" s="225"/>
      <c r="I72" s="225"/>
      <c r="J72" s="25"/>
      <c r="K72" s="25"/>
      <c r="L72" s="2"/>
      <c r="M72" s="2"/>
      <c r="N72" s="2"/>
    </row>
    <row r="74" spans="2:10" ht="13.5">
      <c r="B74" s="26"/>
      <c r="C74" s="26"/>
      <c r="D74" s="26"/>
      <c r="E74" s="26"/>
      <c r="F74" s="26"/>
      <c r="G74" s="26"/>
      <c r="H74" s="26"/>
      <c r="J74" s="26"/>
    </row>
    <row r="75" spans="2:10" ht="13.5">
      <c r="B75" s="26"/>
      <c r="C75" s="26"/>
      <c r="D75" s="26"/>
      <c r="E75" s="26"/>
      <c r="F75" s="26"/>
      <c r="G75" s="26"/>
      <c r="H75" s="26"/>
      <c r="J75" s="26"/>
    </row>
    <row r="76" spans="2:10" ht="13.5">
      <c r="B76" s="26"/>
      <c r="C76" s="26"/>
      <c r="D76" s="26"/>
      <c r="E76" s="26"/>
      <c r="F76" s="26"/>
      <c r="G76" s="26"/>
      <c r="H76" s="26"/>
      <c r="J76" s="26"/>
    </row>
    <row r="77" spans="2:10" ht="13.5">
      <c r="B77" s="26"/>
      <c r="C77" s="26"/>
      <c r="D77" s="26"/>
      <c r="E77" s="26"/>
      <c r="F77" s="26"/>
      <c r="G77" s="26"/>
      <c r="H77" s="26"/>
      <c r="J77" s="26"/>
    </row>
    <row r="78" spans="2:10" ht="13.5">
      <c r="B78" s="26"/>
      <c r="C78" s="26"/>
      <c r="D78" s="26"/>
      <c r="E78" s="26"/>
      <c r="F78" s="26"/>
      <c r="G78" s="26"/>
      <c r="H78" s="26"/>
      <c r="J78" s="26"/>
    </row>
    <row r="79" spans="2:10" ht="13.5">
      <c r="B79" s="26"/>
      <c r="C79" s="26"/>
      <c r="D79" s="26"/>
      <c r="E79" s="26"/>
      <c r="F79" s="26"/>
      <c r="G79" s="26"/>
      <c r="H79" s="26"/>
      <c r="J79" s="26"/>
    </row>
    <row r="80" spans="2:10" ht="13.5">
      <c r="B80" s="26"/>
      <c r="C80" s="26"/>
      <c r="D80" s="26"/>
      <c r="E80" s="26"/>
      <c r="F80" s="26"/>
      <c r="G80" s="26"/>
      <c r="H80" s="26"/>
      <c r="J80" s="26"/>
    </row>
    <row r="81" spans="2:10" ht="13.5">
      <c r="B81" s="26"/>
      <c r="C81" s="26"/>
      <c r="D81" s="26"/>
      <c r="E81" s="26"/>
      <c r="F81" s="26"/>
      <c r="G81" s="26"/>
      <c r="H81" s="26"/>
      <c r="J81" s="26"/>
    </row>
    <row r="82" spans="2:10" ht="13.5">
      <c r="B82" s="26"/>
      <c r="C82" s="26"/>
      <c r="D82" s="26"/>
      <c r="E82" s="26"/>
      <c r="F82" s="26"/>
      <c r="G82" s="26"/>
      <c r="H82" s="26"/>
      <c r="J82" s="26"/>
    </row>
    <row r="83" spans="2:10" ht="13.5">
      <c r="B83" s="26"/>
      <c r="C83" s="26"/>
      <c r="D83" s="26"/>
      <c r="E83" s="26"/>
      <c r="F83" s="26"/>
      <c r="G83" s="26"/>
      <c r="H83" s="26"/>
      <c r="J83" s="26"/>
    </row>
    <row r="84" spans="2:10" ht="13.5">
      <c r="B84" s="26"/>
      <c r="C84" s="26"/>
      <c r="D84" s="26"/>
      <c r="E84" s="26"/>
      <c r="F84" s="26"/>
      <c r="G84" s="26"/>
      <c r="H84" s="26"/>
      <c r="J84" s="26"/>
    </row>
    <row r="85" spans="2:10" ht="13.5">
      <c r="B85" s="26"/>
      <c r="C85" s="26"/>
      <c r="D85" s="26"/>
      <c r="E85" s="26"/>
      <c r="F85" s="26"/>
      <c r="G85" s="26"/>
      <c r="H85" s="26"/>
      <c r="J85" s="26"/>
    </row>
    <row r="86" spans="2:10" ht="13.5">
      <c r="B86" s="26"/>
      <c r="C86" s="26"/>
      <c r="D86" s="26"/>
      <c r="E86" s="26"/>
      <c r="F86" s="26"/>
      <c r="G86" s="26"/>
      <c r="H86" s="26"/>
      <c r="J86" s="26"/>
    </row>
  </sheetData>
  <sheetProtection/>
  <mergeCells count="11">
    <mergeCell ref="L3:M4"/>
    <mergeCell ref="A72:I72"/>
    <mergeCell ref="A2:G2"/>
    <mergeCell ref="A3:A5"/>
    <mergeCell ref="B3:G3"/>
    <mergeCell ref="H3:I4"/>
    <mergeCell ref="N3:N5"/>
    <mergeCell ref="B4:C4"/>
    <mergeCell ref="D4:E4"/>
    <mergeCell ref="F4:G4"/>
    <mergeCell ref="J3:K4"/>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84" r:id="rId1"/>
  <headerFooter alignWithMargins="0">
    <oddFooter>&amp;R仙台国税局
消費税
(R01)</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sheetPr>
    <pageSetUpPr fitToPage="1"/>
  </sheetPr>
  <dimension ref="A1:N72"/>
  <sheetViews>
    <sheetView showGridLines="0" workbookViewId="0" topLeftCell="A1">
      <selection activeCell="A1" sqref="A1:K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239</v>
      </c>
      <c r="B1" s="1"/>
      <c r="C1" s="1"/>
      <c r="D1" s="1"/>
      <c r="E1" s="1"/>
      <c r="F1" s="1"/>
      <c r="G1" s="1"/>
      <c r="H1" s="1"/>
      <c r="I1" s="1"/>
      <c r="J1" s="1"/>
      <c r="K1" s="1"/>
      <c r="L1" s="2"/>
      <c r="M1" s="2"/>
    </row>
    <row r="2" spans="1:13" ht="14.25" thickBot="1">
      <c r="A2" s="240" t="s">
        <v>76</v>
      </c>
      <c r="B2" s="240"/>
      <c r="C2" s="240"/>
      <c r="D2" s="240"/>
      <c r="E2" s="240"/>
      <c r="F2" s="240"/>
      <c r="G2" s="240"/>
      <c r="H2" s="240"/>
      <c r="I2" s="240"/>
      <c r="J2" s="25"/>
      <c r="K2" s="25"/>
      <c r="L2" s="2"/>
      <c r="M2" s="2"/>
    </row>
    <row r="3" spans="1:14" ht="19.5" customHeight="1">
      <c r="A3" s="226" t="s">
        <v>1</v>
      </c>
      <c r="B3" s="229" t="s">
        <v>2</v>
      </c>
      <c r="C3" s="229"/>
      <c r="D3" s="229"/>
      <c r="E3" s="229"/>
      <c r="F3" s="229"/>
      <c r="G3" s="229"/>
      <c r="H3" s="230" t="s">
        <v>3</v>
      </c>
      <c r="I3" s="231"/>
      <c r="J3" s="239" t="s">
        <v>4</v>
      </c>
      <c r="K3" s="231"/>
      <c r="L3" s="230" t="s">
        <v>5</v>
      </c>
      <c r="M3" s="231"/>
      <c r="N3" s="234" t="s">
        <v>77</v>
      </c>
    </row>
    <row r="4" spans="1:14" ht="17.25" customHeight="1">
      <c r="A4" s="227"/>
      <c r="B4" s="232" t="s">
        <v>7</v>
      </c>
      <c r="C4" s="238"/>
      <c r="D4" s="232" t="s">
        <v>8</v>
      </c>
      <c r="E4" s="238"/>
      <c r="F4" s="232" t="s">
        <v>9</v>
      </c>
      <c r="G4" s="238"/>
      <c r="H4" s="232"/>
      <c r="I4" s="233"/>
      <c r="J4" s="232"/>
      <c r="K4" s="233"/>
      <c r="L4" s="232"/>
      <c r="M4" s="233"/>
      <c r="N4" s="235"/>
    </row>
    <row r="5" spans="1:14" ht="28.5" customHeight="1">
      <c r="A5" s="228"/>
      <c r="B5" s="33" t="s">
        <v>10</v>
      </c>
      <c r="C5" s="34" t="s">
        <v>11</v>
      </c>
      <c r="D5" s="33" t="s">
        <v>10</v>
      </c>
      <c r="E5" s="34" t="s">
        <v>11</v>
      </c>
      <c r="F5" s="33" t="s">
        <v>10</v>
      </c>
      <c r="G5" s="38" t="s">
        <v>12</v>
      </c>
      <c r="H5" s="33" t="s">
        <v>91</v>
      </c>
      <c r="I5" s="37" t="s">
        <v>13</v>
      </c>
      <c r="J5" s="33" t="s">
        <v>91</v>
      </c>
      <c r="K5" s="37" t="s">
        <v>14</v>
      </c>
      <c r="L5" s="33" t="s">
        <v>91</v>
      </c>
      <c r="M5" s="35" t="s">
        <v>92</v>
      </c>
      <c r="N5" s="236"/>
    </row>
    <row r="6" spans="1:14" s="27" customFormat="1" ht="10.5">
      <c r="A6" s="5"/>
      <c r="B6" s="6" t="s">
        <v>15</v>
      </c>
      <c r="C6" s="7" t="s">
        <v>16</v>
      </c>
      <c r="D6" s="6" t="s">
        <v>15</v>
      </c>
      <c r="E6" s="7" t="s">
        <v>16</v>
      </c>
      <c r="F6" s="6" t="s">
        <v>15</v>
      </c>
      <c r="G6" s="7" t="s">
        <v>16</v>
      </c>
      <c r="H6" s="6" t="s">
        <v>15</v>
      </c>
      <c r="I6" s="8" t="s">
        <v>16</v>
      </c>
      <c r="J6" s="6" t="s">
        <v>15</v>
      </c>
      <c r="K6" s="8" t="s">
        <v>16</v>
      </c>
      <c r="L6" s="6" t="s">
        <v>237</v>
      </c>
      <c r="M6" s="8" t="s">
        <v>16</v>
      </c>
      <c r="N6" s="9"/>
    </row>
    <row r="7" spans="1:14" ht="15.75" customHeight="1">
      <c r="A7" s="11" t="s">
        <v>78</v>
      </c>
      <c r="B7" s="111">
        <f>_xlfn.COMPOUNDVALUE(209)</f>
        <v>2530</v>
      </c>
      <c r="C7" s="112">
        <v>30990078</v>
      </c>
      <c r="D7" s="111">
        <f>_xlfn.COMPOUNDVALUE(210)</f>
        <v>925</v>
      </c>
      <c r="E7" s="112">
        <v>634479</v>
      </c>
      <c r="F7" s="111">
        <f>_xlfn.COMPOUNDVALUE(211)</f>
        <v>3455</v>
      </c>
      <c r="G7" s="112">
        <v>31624557</v>
      </c>
      <c r="H7" s="111">
        <f>_xlfn.COMPOUNDVALUE(212)</f>
        <v>170</v>
      </c>
      <c r="I7" s="113">
        <v>1131162</v>
      </c>
      <c r="J7" s="111">
        <v>235</v>
      </c>
      <c r="K7" s="113">
        <v>60465</v>
      </c>
      <c r="L7" s="111">
        <v>3641</v>
      </c>
      <c r="M7" s="113">
        <v>30553860</v>
      </c>
      <c r="N7" s="12" t="s">
        <v>96</v>
      </c>
    </row>
    <row r="8" spans="1:14" ht="15.75" customHeight="1">
      <c r="A8" s="13" t="s">
        <v>79</v>
      </c>
      <c r="B8" s="114">
        <f>_xlfn.COMPOUNDVALUE(213)</f>
        <v>1453</v>
      </c>
      <c r="C8" s="115">
        <v>9533615</v>
      </c>
      <c r="D8" s="114">
        <f>_xlfn.COMPOUNDVALUE(214)</f>
        <v>584</v>
      </c>
      <c r="E8" s="115">
        <v>356323</v>
      </c>
      <c r="F8" s="114">
        <f>_xlfn.COMPOUNDVALUE(215)</f>
        <v>2037</v>
      </c>
      <c r="G8" s="115">
        <v>9889938</v>
      </c>
      <c r="H8" s="114">
        <f>_xlfn.COMPOUNDVALUE(216)</f>
        <v>101</v>
      </c>
      <c r="I8" s="116">
        <v>548540</v>
      </c>
      <c r="J8" s="114">
        <v>135</v>
      </c>
      <c r="K8" s="116">
        <v>8598</v>
      </c>
      <c r="L8" s="114">
        <v>2158</v>
      </c>
      <c r="M8" s="116">
        <v>9349997</v>
      </c>
      <c r="N8" s="14" t="s">
        <v>97</v>
      </c>
    </row>
    <row r="9" spans="1:14" ht="15.75" customHeight="1">
      <c r="A9" s="13" t="s">
        <v>80</v>
      </c>
      <c r="B9" s="114">
        <f>_xlfn.COMPOUNDVALUE(217)</f>
        <v>2765</v>
      </c>
      <c r="C9" s="115">
        <v>21566331</v>
      </c>
      <c r="D9" s="114">
        <f>_xlfn.COMPOUNDVALUE(218)</f>
        <v>1056</v>
      </c>
      <c r="E9" s="115">
        <v>674751</v>
      </c>
      <c r="F9" s="114">
        <f>_xlfn.COMPOUNDVALUE(219)</f>
        <v>3821</v>
      </c>
      <c r="G9" s="115">
        <v>22241082</v>
      </c>
      <c r="H9" s="114">
        <f>_xlfn.COMPOUNDVALUE(220)</f>
        <v>142</v>
      </c>
      <c r="I9" s="116">
        <v>3884518</v>
      </c>
      <c r="J9" s="114">
        <v>216</v>
      </c>
      <c r="K9" s="116">
        <v>64685</v>
      </c>
      <c r="L9" s="114">
        <v>3985</v>
      </c>
      <c r="M9" s="116">
        <v>18421250</v>
      </c>
      <c r="N9" s="14" t="s">
        <v>98</v>
      </c>
    </row>
    <row r="10" spans="1:14" ht="15.75" customHeight="1">
      <c r="A10" s="13" t="s">
        <v>81</v>
      </c>
      <c r="B10" s="114">
        <f>_xlfn.COMPOUNDVALUE(221)</f>
        <v>554</v>
      </c>
      <c r="C10" s="115">
        <v>3322384</v>
      </c>
      <c r="D10" s="114">
        <f>_xlfn.COMPOUNDVALUE(222)</f>
        <v>185</v>
      </c>
      <c r="E10" s="115">
        <v>118559</v>
      </c>
      <c r="F10" s="114">
        <f>_xlfn.COMPOUNDVALUE(223)</f>
        <v>739</v>
      </c>
      <c r="G10" s="115">
        <v>3440943</v>
      </c>
      <c r="H10" s="114">
        <f>_xlfn.COMPOUNDVALUE(224)</f>
        <v>30</v>
      </c>
      <c r="I10" s="116">
        <v>38449</v>
      </c>
      <c r="J10" s="114">
        <v>51</v>
      </c>
      <c r="K10" s="116">
        <v>-6101</v>
      </c>
      <c r="L10" s="114">
        <v>777</v>
      </c>
      <c r="M10" s="116">
        <v>3396394</v>
      </c>
      <c r="N10" s="14" t="s">
        <v>99</v>
      </c>
    </row>
    <row r="11" spans="1:14" ht="15.75" customHeight="1">
      <c r="A11" s="13" t="s">
        <v>82</v>
      </c>
      <c r="B11" s="114">
        <f>_xlfn.COMPOUNDVALUE(225)</f>
        <v>1069</v>
      </c>
      <c r="C11" s="115">
        <v>4390347</v>
      </c>
      <c r="D11" s="114">
        <f>_xlfn.COMPOUNDVALUE(226)</f>
        <v>407</v>
      </c>
      <c r="E11" s="115">
        <v>244322</v>
      </c>
      <c r="F11" s="114">
        <f>_xlfn.COMPOUNDVALUE(227)</f>
        <v>1476</v>
      </c>
      <c r="G11" s="115">
        <v>4634669</v>
      </c>
      <c r="H11" s="114">
        <f>_xlfn.COMPOUNDVALUE(228)</f>
        <v>63</v>
      </c>
      <c r="I11" s="116">
        <v>310559</v>
      </c>
      <c r="J11" s="114">
        <v>124</v>
      </c>
      <c r="K11" s="116">
        <v>35538</v>
      </c>
      <c r="L11" s="114">
        <v>1559</v>
      </c>
      <c r="M11" s="116">
        <v>4359648</v>
      </c>
      <c r="N11" s="14" t="s">
        <v>100</v>
      </c>
    </row>
    <row r="12" spans="1:14" ht="15.75" customHeight="1">
      <c r="A12" s="13" t="s">
        <v>83</v>
      </c>
      <c r="B12" s="114">
        <f>_xlfn.COMPOUNDVALUE(229)</f>
        <v>1794</v>
      </c>
      <c r="C12" s="115">
        <v>17988266</v>
      </c>
      <c r="D12" s="114">
        <f>_xlfn.COMPOUNDVALUE(230)</f>
        <v>615</v>
      </c>
      <c r="E12" s="115">
        <v>420072</v>
      </c>
      <c r="F12" s="114">
        <f>_xlfn.COMPOUNDVALUE(231)</f>
        <v>2409</v>
      </c>
      <c r="G12" s="115">
        <v>18408338</v>
      </c>
      <c r="H12" s="114">
        <f>_xlfn.COMPOUNDVALUE(232)</f>
        <v>123</v>
      </c>
      <c r="I12" s="116">
        <v>1837262</v>
      </c>
      <c r="J12" s="114">
        <v>100</v>
      </c>
      <c r="K12" s="116">
        <v>46479</v>
      </c>
      <c r="L12" s="114">
        <v>2542</v>
      </c>
      <c r="M12" s="116">
        <v>16617555</v>
      </c>
      <c r="N12" s="14" t="s">
        <v>101</v>
      </c>
    </row>
    <row r="13" spans="1:14" s="17" customFormat="1" ht="15.75" customHeight="1">
      <c r="A13" s="13" t="s">
        <v>24</v>
      </c>
      <c r="B13" s="114">
        <f>_xlfn.COMPOUNDVALUE(233)</f>
        <v>575</v>
      </c>
      <c r="C13" s="115">
        <v>2983426</v>
      </c>
      <c r="D13" s="114">
        <f>_xlfn.COMPOUNDVALUE(234)</f>
        <v>182</v>
      </c>
      <c r="E13" s="115">
        <v>115429</v>
      </c>
      <c r="F13" s="114">
        <f>_xlfn.COMPOUNDVALUE(235)</f>
        <v>757</v>
      </c>
      <c r="G13" s="115">
        <v>3098855</v>
      </c>
      <c r="H13" s="114">
        <f>_xlfn.COMPOUNDVALUE(236)</f>
        <v>22</v>
      </c>
      <c r="I13" s="116">
        <v>199191</v>
      </c>
      <c r="J13" s="114">
        <v>35</v>
      </c>
      <c r="K13" s="116">
        <v>7940</v>
      </c>
      <c r="L13" s="114">
        <v>790</v>
      </c>
      <c r="M13" s="116">
        <v>2907604</v>
      </c>
      <c r="N13" s="14" t="s">
        <v>24</v>
      </c>
    </row>
    <row r="14" spans="1:14" s="28" customFormat="1" ht="15.75" customHeight="1">
      <c r="A14" s="15" t="s">
        <v>181</v>
      </c>
      <c r="B14" s="117">
        <v>10740</v>
      </c>
      <c r="C14" s="118">
        <v>90774447</v>
      </c>
      <c r="D14" s="117">
        <v>3954</v>
      </c>
      <c r="E14" s="118">
        <v>2563935</v>
      </c>
      <c r="F14" s="117">
        <v>14694</v>
      </c>
      <c r="G14" s="118">
        <v>93338381</v>
      </c>
      <c r="H14" s="117">
        <v>651</v>
      </c>
      <c r="I14" s="119">
        <v>7949680</v>
      </c>
      <c r="J14" s="117">
        <v>896</v>
      </c>
      <c r="K14" s="119">
        <v>217606</v>
      </c>
      <c r="L14" s="117">
        <v>15452</v>
      </c>
      <c r="M14" s="119">
        <v>85606307</v>
      </c>
      <c r="N14" s="16" t="s">
        <v>95</v>
      </c>
    </row>
    <row r="15" spans="1:14" s="17" customFormat="1" ht="15.75" customHeight="1">
      <c r="A15" s="147"/>
      <c r="B15" s="155"/>
      <c r="C15" s="146"/>
      <c r="D15" s="152"/>
      <c r="E15" s="154"/>
      <c r="F15" s="152"/>
      <c r="G15" s="154"/>
      <c r="H15" s="152"/>
      <c r="I15" s="154"/>
      <c r="J15" s="152"/>
      <c r="K15" s="150"/>
      <c r="L15" s="155"/>
      <c r="M15" s="146"/>
      <c r="N15" s="148"/>
    </row>
    <row r="16" spans="1:14" ht="15.75" customHeight="1">
      <c r="A16" s="11" t="s">
        <v>182</v>
      </c>
      <c r="B16" s="111">
        <f>_xlfn.COMPOUNDVALUE(237)</f>
        <v>3843</v>
      </c>
      <c r="C16" s="112">
        <v>32414495</v>
      </c>
      <c r="D16" s="111">
        <f>_xlfn.COMPOUNDVALUE(238)</f>
        <v>1593</v>
      </c>
      <c r="E16" s="112">
        <v>1070465</v>
      </c>
      <c r="F16" s="111">
        <f>_xlfn.COMPOUNDVALUE(239)</f>
        <v>5436</v>
      </c>
      <c r="G16" s="112">
        <v>33484960</v>
      </c>
      <c r="H16" s="111">
        <f>_xlfn.COMPOUNDVALUE(240)</f>
        <v>229</v>
      </c>
      <c r="I16" s="113">
        <v>1484104</v>
      </c>
      <c r="J16" s="111">
        <v>343</v>
      </c>
      <c r="K16" s="113">
        <v>93834</v>
      </c>
      <c r="L16" s="111">
        <v>5705</v>
      </c>
      <c r="M16" s="113">
        <v>32094690</v>
      </c>
      <c r="N16" s="24" t="s">
        <v>102</v>
      </c>
    </row>
    <row r="17" spans="1:14" ht="15.75" customHeight="1">
      <c r="A17" s="13" t="s">
        <v>183</v>
      </c>
      <c r="B17" s="114">
        <f>_xlfn.COMPOUNDVALUE(241)</f>
        <v>637</v>
      </c>
      <c r="C17" s="115">
        <v>3643847</v>
      </c>
      <c r="D17" s="114">
        <f>_xlfn.COMPOUNDVALUE(242)</f>
        <v>195</v>
      </c>
      <c r="E17" s="115">
        <v>131750</v>
      </c>
      <c r="F17" s="114">
        <f>_xlfn.COMPOUNDVALUE(243)</f>
        <v>832</v>
      </c>
      <c r="G17" s="115">
        <v>3775597</v>
      </c>
      <c r="H17" s="114">
        <f>_xlfn.COMPOUNDVALUE(244)</f>
        <v>30</v>
      </c>
      <c r="I17" s="116">
        <v>201357</v>
      </c>
      <c r="J17" s="114">
        <v>46</v>
      </c>
      <c r="K17" s="116">
        <v>18039</v>
      </c>
      <c r="L17" s="114">
        <v>872</v>
      </c>
      <c r="M17" s="116">
        <v>3592279</v>
      </c>
      <c r="N17" s="14" t="s">
        <v>103</v>
      </c>
    </row>
    <row r="18" spans="1:14" ht="15.75" customHeight="1">
      <c r="A18" s="13" t="s">
        <v>184</v>
      </c>
      <c r="B18" s="114">
        <f>_xlfn.COMPOUNDVALUE(245)</f>
        <v>556</v>
      </c>
      <c r="C18" s="115">
        <v>3662095</v>
      </c>
      <c r="D18" s="114">
        <f>_xlfn.COMPOUNDVALUE(246)</f>
        <v>159</v>
      </c>
      <c r="E18" s="115">
        <v>101580</v>
      </c>
      <c r="F18" s="114">
        <f>_xlfn.COMPOUNDVALUE(247)</f>
        <v>715</v>
      </c>
      <c r="G18" s="115">
        <v>3763676</v>
      </c>
      <c r="H18" s="114">
        <f>_xlfn.COMPOUNDVALUE(248)</f>
        <v>37</v>
      </c>
      <c r="I18" s="116">
        <v>1467339</v>
      </c>
      <c r="J18" s="114">
        <v>25</v>
      </c>
      <c r="K18" s="116">
        <v>6854</v>
      </c>
      <c r="L18" s="114">
        <v>755</v>
      </c>
      <c r="M18" s="116">
        <v>2303191</v>
      </c>
      <c r="N18" s="14" t="s">
        <v>104</v>
      </c>
    </row>
    <row r="19" spans="1:14" ht="15.75" customHeight="1">
      <c r="A19" s="13" t="s">
        <v>185</v>
      </c>
      <c r="B19" s="114">
        <f>_xlfn.COMPOUNDVALUE(249)</f>
        <v>1003</v>
      </c>
      <c r="C19" s="115">
        <v>7286240</v>
      </c>
      <c r="D19" s="114">
        <f>_xlfn.COMPOUNDVALUE(250)</f>
        <v>410</v>
      </c>
      <c r="E19" s="115">
        <v>269035</v>
      </c>
      <c r="F19" s="114">
        <f>_xlfn.COMPOUNDVALUE(251)</f>
        <v>1413</v>
      </c>
      <c r="G19" s="115">
        <v>7555275</v>
      </c>
      <c r="H19" s="114">
        <f>_xlfn.COMPOUNDVALUE(252)</f>
        <v>77</v>
      </c>
      <c r="I19" s="116">
        <v>205513</v>
      </c>
      <c r="J19" s="114">
        <v>74</v>
      </c>
      <c r="K19" s="116">
        <v>-2091</v>
      </c>
      <c r="L19" s="114">
        <v>1510</v>
      </c>
      <c r="M19" s="116">
        <v>7347671</v>
      </c>
      <c r="N19" s="14" t="s">
        <v>105</v>
      </c>
    </row>
    <row r="20" spans="1:14" ht="15.75" customHeight="1">
      <c r="A20" s="13" t="s">
        <v>186</v>
      </c>
      <c r="B20" s="114">
        <f>_xlfn.COMPOUNDVALUE(253)</f>
        <v>1490</v>
      </c>
      <c r="C20" s="115">
        <v>13372832</v>
      </c>
      <c r="D20" s="114">
        <f>_xlfn.COMPOUNDVALUE(254)</f>
        <v>550</v>
      </c>
      <c r="E20" s="115">
        <v>328482</v>
      </c>
      <c r="F20" s="114">
        <f>_xlfn.COMPOUNDVALUE(255)</f>
        <v>2040</v>
      </c>
      <c r="G20" s="115">
        <v>13701313</v>
      </c>
      <c r="H20" s="114">
        <f>_xlfn.COMPOUNDVALUE(256)</f>
        <v>119</v>
      </c>
      <c r="I20" s="116">
        <v>455822</v>
      </c>
      <c r="J20" s="114">
        <v>83</v>
      </c>
      <c r="K20" s="116">
        <v>95020</v>
      </c>
      <c r="L20" s="114">
        <v>2171</v>
      </c>
      <c r="M20" s="116">
        <v>13340512</v>
      </c>
      <c r="N20" s="14" t="s">
        <v>106</v>
      </c>
    </row>
    <row r="21" spans="1:14" ht="15.75" customHeight="1">
      <c r="A21" s="13" t="s">
        <v>187</v>
      </c>
      <c r="B21" s="114">
        <f>_xlfn.COMPOUNDVALUE(257)</f>
        <v>490</v>
      </c>
      <c r="C21" s="115">
        <v>2574838</v>
      </c>
      <c r="D21" s="114">
        <f>_xlfn.COMPOUNDVALUE(258)</f>
        <v>160</v>
      </c>
      <c r="E21" s="115">
        <v>106993</v>
      </c>
      <c r="F21" s="114">
        <f>_xlfn.COMPOUNDVALUE(259)</f>
        <v>650</v>
      </c>
      <c r="G21" s="115">
        <v>2681831</v>
      </c>
      <c r="H21" s="114">
        <f>_xlfn.COMPOUNDVALUE(260)</f>
        <v>45</v>
      </c>
      <c r="I21" s="116">
        <v>212213</v>
      </c>
      <c r="J21" s="114">
        <v>18</v>
      </c>
      <c r="K21" s="116">
        <v>-11366</v>
      </c>
      <c r="L21" s="114">
        <v>697</v>
      </c>
      <c r="M21" s="116">
        <v>2458252</v>
      </c>
      <c r="N21" s="14" t="s">
        <v>107</v>
      </c>
    </row>
    <row r="22" spans="1:14" ht="15.75" customHeight="1">
      <c r="A22" s="13" t="s">
        <v>188</v>
      </c>
      <c r="B22" s="114">
        <f>_xlfn.COMPOUNDVALUE(261)</f>
        <v>916</v>
      </c>
      <c r="C22" s="115">
        <v>6504080</v>
      </c>
      <c r="D22" s="114">
        <f>_xlfn.COMPOUNDVALUE(262)</f>
        <v>381</v>
      </c>
      <c r="E22" s="115">
        <v>230955</v>
      </c>
      <c r="F22" s="114">
        <f>_xlfn.COMPOUNDVALUE(263)</f>
        <v>1297</v>
      </c>
      <c r="G22" s="115">
        <v>6735035</v>
      </c>
      <c r="H22" s="114">
        <f>_xlfn.COMPOUNDVALUE(264)</f>
        <v>61</v>
      </c>
      <c r="I22" s="116">
        <v>267721</v>
      </c>
      <c r="J22" s="114">
        <v>68</v>
      </c>
      <c r="K22" s="116">
        <v>38262</v>
      </c>
      <c r="L22" s="114">
        <v>1371</v>
      </c>
      <c r="M22" s="116">
        <v>6505576</v>
      </c>
      <c r="N22" s="14" t="s">
        <v>108</v>
      </c>
    </row>
    <row r="23" spans="1:14" ht="15.75" customHeight="1">
      <c r="A23" s="13" t="s">
        <v>189</v>
      </c>
      <c r="B23" s="114">
        <f>_xlfn.COMPOUNDVALUE(265)</f>
        <v>623</v>
      </c>
      <c r="C23" s="115">
        <v>3678464</v>
      </c>
      <c r="D23" s="114">
        <f>_xlfn.COMPOUNDVALUE(266)</f>
        <v>221</v>
      </c>
      <c r="E23" s="115">
        <v>129424</v>
      </c>
      <c r="F23" s="114">
        <f>_xlfn.COMPOUNDVALUE(267)</f>
        <v>844</v>
      </c>
      <c r="G23" s="115">
        <v>3807888</v>
      </c>
      <c r="H23" s="114">
        <f>_xlfn.COMPOUNDVALUE(268)</f>
        <v>43</v>
      </c>
      <c r="I23" s="116">
        <v>158053</v>
      </c>
      <c r="J23" s="114">
        <v>64</v>
      </c>
      <c r="K23" s="116">
        <v>3549</v>
      </c>
      <c r="L23" s="114">
        <v>891</v>
      </c>
      <c r="M23" s="116">
        <v>3653383</v>
      </c>
      <c r="N23" s="14" t="s">
        <v>109</v>
      </c>
    </row>
    <row r="24" spans="1:14" ht="15.75" customHeight="1">
      <c r="A24" s="13" t="s">
        <v>190</v>
      </c>
      <c r="B24" s="114">
        <f>_xlfn.COMPOUNDVALUE(269)</f>
        <v>439</v>
      </c>
      <c r="C24" s="115">
        <v>2857469</v>
      </c>
      <c r="D24" s="114">
        <f>_xlfn.COMPOUNDVALUE(270)</f>
        <v>144</v>
      </c>
      <c r="E24" s="115">
        <v>103672</v>
      </c>
      <c r="F24" s="114">
        <f>_xlfn.COMPOUNDVALUE(271)</f>
        <v>583</v>
      </c>
      <c r="G24" s="115">
        <v>2961141</v>
      </c>
      <c r="H24" s="114">
        <f>_xlfn.COMPOUNDVALUE(272)</f>
        <v>41</v>
      </c>
      <c r="I24" s="116">
        <v>2324011</v>
      </c>
      <c r="J24" s="114">
        <v>29</v>
      </c>
      <c r="K24" s="116">
        <v>6138</v>
      </c>
      <c r="L24" s="114">
        <v>633</v>
      </c>
      <c r="M24" s="116">
        <v>643268</v>
      </c>
      <c r="N24" s="14" t="s">
        <v>110</v>
      </c>
    </row>
    <row r="25" spans="1:14" ht="15.75" customHeight="1">
      <c r="A25" s="15" t="s">
        <v>191</v>
      </c>
      <c r="B25" s="117">
        <v>9997</v>
      </c>
      <c r="C25" s="118">
        <v>75994361</v>
      </c>
      <c r="D25" s="117">
        <v>3813</v>
      </c>
      <c r="E25" s="118">
        <v>2472356</v>
      </c>
      <c r="F25" s="117">
        <v>13810</v>
      </c>
      <c r="G25" s="118">
        <v>78466716</v>
      </c>
      <c r="H25" s="117">
        <v>682</v>
      </c>
      <c r="I25" s="119">
        <v>6776134</v>
      </c>
      <c r="J25" s="117">
        <v>750</v>
      </c>
      <c r="K25" s="119">
        <v>248239</v>
      </c>
      <c r="L25" s="117">
        <v>14605</v>
      </c>
      <c r="M25" s="119">
        <v>71938821</v>
      </c>
      <c r="N25" s="16" t="s">
        <v>111</v>
      </c>
    </row>
    <row r="26" spans="1:14" ht="15.75" customHeight="1">
      <c r="A26" s="147"/>
      <c r="B26" s="155"/>
      <c r="C26" s="146"/>
      <c r="D26" s="152"/>
      <c r="E26" s="154"/>
      <c r="F26" s="152"/>
      <c r="G26" s="154"/>
      <c r="H26" s="152"/>
      <c r="I26" s="154"/>
      <c r="J26" s="152"/>
      <c r="K26" s="150"/>
      <c r="L26" s="155"/>
      <c r="M26" s="146"/>
      <c r="N26" s="148"/>
    </row>
    <row r="27" spans="1:14" ht="15.75" customHeight="1">
      <c r="A27" s="11" t="s">
        <v>192</v>
      </c>
      <c r="B27" s="111">
        <f>_xlfn.COMPOUNDVALUE(273)</f>
        <v>5256</v>
      </c>
      <c r="C27" s="112">
        <v>69091478</v>
      </c>
      <c r="D27" s="111">
        <f>_xlfn.COMPOUNDVALUE(274)</f>
        <v>2283</v>
      </c>
      <c r="E27" s="112">
        <v>1523312</v>
      </c>
      <c r="F27" s="111">
        <f>_xlfn.COMPOUNDVALUE(275)</f>
        <v>7539</v>
      </c>
      <c r="G27" s="112">
        <v>70614790</v>
      </c>
      <c r="H27" s="111">
        <f>_xlfn.COMPOUNDVALUE(276)</f>
        <v>392</v>
      </c>
      <c r="I27" s="113">
        <v>2157668</v>
      </c>
      <c r="J27" s="111">
        <v>514</v>
      </c>
      <c r="K27" s="113">
        <v>148843</v>
      </c>
      <c r="L27" s="111">
        <v>8000</v>
      </c>
      <c r="M27" s="113">
        <v>68605965</v>
      </c>
      <c r="N27" s="24" t="s">
        <v>112</v>
      </c>
    </row>
    <row r="28" spans="1:14" ht="15.75" customHeight="1">
      <c r="A28" s="13" t="s">
        <v>193</v>
      </c>
      <c r="B28" s="114">
        <f>_xlfn.COMPOUNDVALUE(277)</f>
        <v>5060</v>
      </c>
      <c r="C28" s="115">
        <v>63491162</v>
      </c>
      <c r="D28" s="114">
        <f>_xlfn.COMPOUNDVALUE(278)</f>
        <v>1644</v>
      </c>
      <c r="E28" s="115">
        <v>1151017</v>
      </c>
      <c r="F28" s="114">
        <f>_xlfn.COMPOUNDVALUE(279)</f>
        <v>6704</v>
      </c>
      <c r="G28" s="115">
        <v>64642179</v>
      </c>
      <c r="H28" s="114">
        <f>_xlfn.COMPOUNDVALUE(280)</f>
        <v>317</v>
      </c>
      <c r="I28" s="116">
        <v>1849325</v>
      </c>
      <c r="J28" s="114">
        <v>438</v>
      </c>
      <c r="K28" s="116">
        <v>192501</v>
      </c>
      <c r="L28" s="114">
        <v>7102</v>
      </c>
      <c r="M28" s="116">
        <v>62985355</v>
      </c>
      <c r="N28" s="14" t="s">
        <v>113</v>
      </c>
    </row>
    <row r="29" spans="1:14" ht="15.75" customHeight="1">
      <c r="A29" s="13" t="s">
        <v>194</v>
      </c>
      <c r="B29" s="114">
        <f>_xlfn.COMPOUNDVALUE(281)</f>
        <v>2634</v>
      </c>
      <c r="C29" s="115">
        <v>19513273</v>
      </c>
      <c r="D29" s="114">
        <f>_xlfn.COMPOUNDVALUE(282)</f>
        <v>1144</v>
      </c>
      <c r="E29" s="115">
        <v>731603</v>
      </c>
      <c r="F29" s="114">
        <f>_xlfn.COMPOUNDVALUE(283)</f>
        <v>3778</v>
      </c>
      <c r="G29" s="115">
        <v>20244876</v>
      </c>
      <c r="H29" s="114">
        <f>_xlfn.COMPOUNDVALUE(284)</f>
        <v>192</v>
      </c>
      <c r="I29" s="116">
        <v>704602</v>
      </c>
      <c r="J29" s="114">
        <v>230</v>
      </c>
      <c r="K29" s="116">
        <v>62547</v>
      </c>
      <c r="L29" s="114">
        <v>4001</v>
      </c>
      <c r="M29" s="116">
        <v>19602821</v>
      </c>
      <c r="N29" s="14" t="s">
        <v>114</v>
      </c>
    </row>
    <row r="30" spans="1:14" ht="15.75" customHeight="1">
      <c r="A30" s="13" t="s">
        <v>195</v>
      </c>
      <c r="B30" s="114">
        <f>_xlfn.COMPOUNDVALUE(285)</f>
        <v>2141</v>
      </c>
      <c r="C30" s="115">
        <v>12364395</v>
      </c>
      <c r="D30" s="114">
        <f>_xlfn.COMPOUNDVALUE(286)</f>
        <v>743</v>
      </c>
      <c r="E30" s="115">
        <v>482386</v>
      </c>
      <c r="F30" s="114">
        <f>_xlfn.COMPOUNDVALUE(287)</f>
        <v>2884</v>
      </c>
      <c r="G30" s="115">
        <v>12846781</v>
      </c>
      <c r="H30" s="114">
        <f>_xlfn.COMPOUNDVALUE(288)</f>
        <v>181</v>
      </c>
      <c r="I30" s="116">
        <v>1202813</v>
      </c>
      <c r="J30" s="114">
        <v>141</v>
      </c>
      <c r="K30" s="116">
        <v>3402</v>
      </c>
      <c r="L30" s="114">
        <v>3099</v>
      </c>
      <c r="M30" s="116">
        <v>11647370</v>
      </c>
      <c r="N30" s="14" t="s">
        <v>115</v>
      </c>
    </row>
    <row r="31" spans="1:14" ht="15.75" customHeight="1">
      <c r="A31" s="13" t="s">
        <v>196</v>
      </c>
      <c r="B31" s="114">
        <f>_xlfn.COMPOUNDVALUE(289)</f>
        <v>1492</v>
      </c>
      <c r="C31" s="115">
        <v>7774170</v>
      </c>
      <c r="D31" s="114">
        <f>_xlfn.COMPOUNDVALUE(290)</f>
        <v>617</v>
      </c>
      <c r="E31" s="115">
        <v>365853</v>
      </c>
      <c r="F31" s="114">
        <f>_xlfn.COMPOUNDVALUE(291)</f>
        <v>2109</v>
      </c>
      <c r="G31" s="115">
        <v>8140023</v>
      </c>
      <c r="H31" s="114">
        <f>_xlfn.COMPOUNDVALUE(292)</f>
        <v>102</v>
      </c>
      <c r="I31" s="116">
        <v>550370</v>
      </c>
      <c r="J31" s="114">
        <v>99</v>
      </c>
      <c r="K31" s="116">
        <v>61723</v>
      </c>
      <c r="L31" s="114">
        <v>2224</v>
      </c>
      <c r="M31" s="116">
        <v>7651375</v>
      </c>
      <c r="N31" s="14" t="s">
        <v>116</v>
      </c>
    </row>
    <row r="32" spans="1:14" ht="15.75" customHeight="1">
      <c r="A32" s="13" t="s">
        <v>197</v>
      </c>
      <c r="B32" s="114">
        <f>_xlfn.COMPOUNDVALUE(293)</f>
        <v>1594</v>
      </c>
      <c r="C32" s="115">
        <v>8534974</v>
      </c>
      <c r="D32" s="114">
        <f>_xlfn.COMPOUNDVALUE(294)</f>
        <v>681</v>
      </c>
      <c r="E32" s="115">
        <v>417547</v>
      </c>
      <c r="F32" s="114">
        <f>_xlfn.COMPOUNDVALUE(295)</f>
        <v>2275</v>
      </c>
      <c r="G32" s="115">
        <v>8952521</v>
      </c>
      <c r="H32" s="114">
        <f>_xlfn.COMPOUNDVALUE(296)</f>
        <v>133</v>
      </c>
      <c r="I32" s="116">
        <v>455139</v>
      </c>
      <c r="J32" s="114">
        <v>141</v>
      </c>
      <c r="K32" s="116">
        <v>19859</v>
      </c>
      <c r="L32" s="114">
        <v>2430</v>
      </c>
      <c r="M32" s="116">
        <v>8517241</v>
      </c>
      <c r="N32" s="14" t="s">
        <v>117</v>
      </c>
    </row>
    <row r="33" spans="1:14" ht="15.75" customHeight="1">
      <c r="A33" s="13" t="s">
        <v>198</v>
      </c>
      <c r="B33" s="114">
        <f>_xlfn.COMPOUNDVALUE(297)</f>
        <v>846</v>
      </c>
      <c r="C33" s="115">
        <v>4142077</v>
      </c>
      <c r="D33" s="114">
        <f>_xlfn.COMPOUNDVALUE(298)</f>
        <v>255</v>
      </c>
      <c r="E33" s="115">
        <v>146757</v>
      </c>
      <c r="F33" s="114">
        <f>_xlfn.COMPOUNDVALUE(299)</f>
        <v>1101</v>
      </c>
      <c r="G33" s="115">
        <v>4288835</v>
      </c>
      <c r="H33" s="114">
        <f>_xlfn.COMPOUNDVALUE(300)</f>
        <v>64</v>
      </c>
      <c r="I33" s="116">
        <v>829217</v>
      </c>
      <c r="J33" s="114">
        <v>59</v>
      </c>
      <c r="K33" s="116">
        <v>32872</v>
      </c>
      <c r="L33" s="114">
        <v>1189</v>
      </c>
      <c r="M33" s="116">
        <v>3492489</v>
      </c>
      <c r="N33" s="14" t="s">
        <v>118</v>
      </c>
    </row>
    <row r="34" spans="1:14" ht="15.75" customHeight="1">
      <c r="A34" s="13" t="s">
        <v>199</v>
      </c>
      <c r="B34" s="114">
        <f>_xlfn.COMPOUNDVALUE(301)</f>
        <v>1218</v>
      </c>
      <c r="C34" s="115">
        <v>6019328</v>
      </c>
      <c r="D34" s="114">
        <f>_xlfn.COMPOUNDVALUE(302)</f>
        <v>530</v>
      </c>
      <c r="E34" s="115">
        <v>333145</v>
      </c>
      <c r="F34" s="114">
        <f>_xlfn.COMPOUNDVALUE(303)</f>
        <v>1748</v>
      </c>
      <c r="G34" s="115">
        <v>6352473</v>
      </c>
      <c r="H34" s="114">
        <f>_xlfn.COMPOUNDVALUE(304)</f>
        <v>95</v>
      </c>
      <c r="I34" s="116">
        <v>466067</v>
      </c>
      <c r="J34" s="114">
        <v>79</v>
      </c>
      <c r="K34" s="116">
        <v>19081</v>
      </c>
      <c r="L34" s="114">
        <v>1873</v>
      </c>
      <c r="M34" s="116">
        <v>5905486</v>
      </c>
      <c r="N34" s="14" t="s">
        <v>119</v>
      </c>
    </row>
    <row r="35" spans="1:14" ht="15.75" customHeight="1">
      <c r="A35" s="13" t="s">
        <v>200</v>
      </c>
      <c r="B35" s="114">
        <f>_xlfn.COMPOUNDVALUE(305)</f>
        <v>598</v>
      </c>
      <c r="C35" s="115">
        <v>3509639</v>
      </c>
      <c r="D35" s="114">
        <f>_xlfn.COMPOUNDVALUE(306)</f>
        <v>220</v>
      </c>
      <c r="E35" s="115">
        <v>133739</v>
      </c>
      <c r="F35" s="114">
        <f>_xlfn.COMPOUNDVALUE(307)</f>
        <v>818</v>
      </c>
      <c r="G35" s="115">
        <v>3643378</v>
      </c>
      <c r="H35" s="114">
        <f>_xlfn.COMPOUNDVALUE(308)</f>
        <v>56</v>
      </c>
      <c r="I35" s="116">
        <v>446994</v>
      </c>
      <c r="J35" s="114">
        <v>75</v>
      </c>
      <c r="K35" s="116">
        <v>-7215</v>
      </c>
      <c r="L35" s="114">
        <v>877</v>
      </c>
      <c r="M35" s="116">
        <v>3189170</v>
      </c>
      <c r="N35" s="14" t="s">
        <v>120</v>
      </c>
    </row>
    <row r="36" spans="1:14" ht="15.75" customHeight="1">
      <c r="A36" s="13" t="s">
        <v>201</v>
      </c>
      <c r="B36" s="114">
        <f>_xlfn.COMPOUNDVALUE(309)</f>
        <v>729</v>
      </c>
      <c r="C36" s="115">
        <v>4355053</v>
      </c>
      <c r="D36" s="114">
        <f>_xlfn.COMPOUNDVALUE(310)</f>
        <v>313</v>
      </c>
      <c r="E36" s="115">
        <v>197116</v>
      </c>
      <c r="F36" s="114">
        <f>_xlfn.COMPOUNDVALUE(311)</f>
        <v>1042</v>
      </c>
      <c r="G36" s="115">
        <v>4552169</v>
      </c>
      <c r="H36" s="114">
        <f>_xlfn.COMPOUNDVALUE(312)</f>
        <v>49</v>
      </c>
      <c r="I36" s="116">
        <v>328030</v>
      </c>
      <c r="J36" s="114">
        <v>80</v>
      </c>
      <c r="K36" s="116">
        <v>28813</v>
      </c>
      <c r="L36" s="114">
        <v>1102</v>
      </c>
      <c r="M36" s="116">
        <v>4252951</v>
      </c>
      <c r="N36" s="14" t="s">
        <v>121</v>
      </c>
    </row>
    <row r="37" spans="1:14" ht="15.75" customHeight="1">
      <c r="A37" s="15" t="s">
        <v>202</v>
      </c>
      <c r="B37" s="117">
        <v>21568</v>
      </c>
      <c r="C37" s="118">
        <v>198795549</v>
      </c>
      <c r="D37" s="117">
        <v>8430</v>
      </c>
      <c r="E37" s="118">
        <v>5482475</v>
      </c>
      <c r="F37" s="117">
        <v>29998</v>
      </c>
      <c r="G37" s="118">
        <v>204278023</v>
      </c>
      <c r="H37" s="117">
        <v>1581</v>
      </c>
      <c r="I37" s="119">
        <v>8990227</v>
      </c>
      <c r="J37" s="117">
        <v>1856</v>
      </c>
      <c r="K37" s="119">
        <v>562426</v>
      </c>
      <c r="L37" s="117">
        <v>31897</v>
      </c>
      <c r="M37" s="119">
        <v>195850222</v>
      </c>
      <c r="N37" s="16" t="s">
        <v>122</v>
      </c>
    </row>
    <row r="38" spans="1:14" ht="15.75" customHeight="1">
      <c r="A38" s="147"/>
      <c r="B38" s="155"/>
      <c r="C38" s="146"/>
      <c r="D38" s="152"/>
      <c r="E38" s="154"/>
      <c r="F38" s="152"/>
      <c r="G38" s="154"/>
      <c r="H38" s="152"/>
      <c r="I38" s="154"/>
      <c r="J38" s="152"/>
      <c r="K38" s="150"/>
      <c r="L38" s="155"/>
      <c r="M38" s="146"/>
      <c r="N38" s="148"/>
    </row>
    <row r="39" spans="1:14" ht="15.75" customHeight="1">
      <c r="A39" s="11" t="s">
        <v>203</v>
      </c>
      <c r="B39" s="111">
        <f>_xlfn.COMPOUNDVALUE(313)</f>
        <v>2202</v>
      </c>
      <c r="C39" s="112">
        <v>17587827</v>
      </c>
      <c r="D39" s="111">
        <f>_xlfn.COMPOUNDVALUE(314)</f>
        <v>939</v>
      </c>
      <c r="E39" s="112">
        <v>621691</v>
      </c>
      <c r="F39" s="111">
        <f>_xlfn.COMPOUNDVALUE(315)</f>
        <v>3141</v>
      </c>
      <c r="G39" s="112">
        <v>18209519</v>
      </c>
      <c r="H39" s="111">
        <f>_xlfn.COMPOUNDVALUE(316)</f>
        <v>140</v>
      </c>
      <c r="I39" s="113">
        <v>1831578</v>
      </c>
      <c r="J39" s="111">
        <v>163</v>
      </c>
      <c r="K39" s="113">
        <v>-46488</v>
      </c>
      <c r="L39" s="111">
        <v>3291</v>
      </c>
      <c r="M39" s="113">
        <v>16331453</v>
      </c>
      <c r="N39" s="12" t="s">
        <v>123</v>
      </c>
    </row>
    <row r="40" spans="1:14" ht="15.75" customHeight="1">
      <c r="A40" s="13" t="s">
        <v>204</v>
      </c>
      <c r="B40" s="114">
        <f>_xlfn.COMPOUNDVALUE(317)</f>
        <v>1087</v>
      </c>
      <c r="C40" s="115">
        <v>6965070</v>
      </c>
      <c r="D40" s="114">
        <f>_xlfn.COMPOUNDVALUE(318)</f>
        <v>456</v>
      </c>
      <c r="E40" s="115">
        <v>284628</v>
      </c>
      <c r="F40" s="114">
        <f>_xlfn.COMPOUNDVALUE(319)</f>
        <v>1543</v>
      </c>
      <c r="G40" s="115">
        <v>7249698</v>
      </c>
      <c r="H40" s="114">
        <f>_xlfn.COMPOUNDVALUE(320)</f>
        <v>59</v>
      </c>
      <c r="I40" s="116">
        <v>320093</v>
      </c>
      <c r="J40" s="114">
        <v>109</v>
      </c>
      <c r="K40" s="116">
        <v>9565</v>
      </c>
      <c r="L40" s="114">
        <v>1623</v>
      </c>
      <c r="M40" s="116">
        <v>6939169</v>
      </c>
      <c r="N40" s="14" t="s">
        <v>124</v>
      </c>
    </row>
    <row r="41" spans="1:14" ht="15.75" customHeight="1">
      <c r="A41" s="13" t="s">
        <v>205</v>
      </c>
      <c r="B41" s="114">
        <f>_xlfn.COMPOUNDVALUE(321)</f>
        <v>642</v>
      </c>
      <c r="C41" s="115">
        <v>3034521</v>
      </c>
      <c r="D41" s="114">
        <f>_xlfn.COMPOUNDVALUE(322)</f>
        <v>278</v>
      </c>
      <c r="E41" s="115">
        <v>157251</v>
      </c>
      <c r="F41" s="114">
        <f>_xlfn.COMPOUNDVALUE(323)</f>
        <v>920</v>
      </c>
      <c r="G41" s="115">
        <v>3191773</v>
      </c>
      <c r="H41" s="114">
        <f>_xlfn.COMPOUNDVALUE(324)</f>
        <v>32</v>
      </c>
      <c r="I41" s="116">
        <v>325880</v>
      </c>
      <c r="J41" s="114">
        <v>17</v>
      </c>
      <c r="K41" s="116">
        <v>13640</v>
      </c>
      <c r="L41" s="114">
        <v>955</v>
      </c>
      <c r="M41" s="116">
        <v>2879532</v>
      </c>
      <c r="N41" s="14" t="s">
        <v>125</v>
      </c>
    </row>
    <row r="42" spans="1:14" ht="15.75" customHeight="1">
      <c r="A42" s="13" t="s">
        <v>206</v>
      </c>
      <c r="B42" s="114">
        <f>_xlfn.COMPOUNDVALUE(325)</f>
        <v>701</v>
      </c>
      <c r="C42" s="115">
        <v>3500701</v>
      </c>
      <c r="D42" s="114">
        <f>_xlfn.COMPOUNDVALUE(326)</f>
        <v>267</v>
      </c>
      <c r="E42" s="115">
        <v>171331</v>
      </c>
      <c r="F42" s="114">
        <f>_xlfn.COMPOUNDVALUE(327)</f>
        <v>968</v>
      </c>
      <c r="G42" s="115">
        <v>3672032</v>
      </c>
      <c r="H42" s="114">
        <f>_xlfn.COMPOUNDVALUE(328)</f>
        <v>70</v>
      </c>
      <c r="I42" s="116">
        <v>470151</v>
      </c>
      <c r="J42" s="114">
        <v>37</v>
      </c>
      <c r="K42" s="116">
        <v>6042</v>
      </c>
      <c r="L42" s="114">
        <v>1047</v>
      </c>
      <c r="M42" s="116">
        <v>3207923</v>
      </c>
      <c r="N42" s="14" t="s">
        <v>126</v>
      </c>
    </row>
    <row r="43" spans="1:14" ht="15.75" customHeight="1">
      <c r="A43" s="13" t="s">
        <v>207</v>
      </c>
      <c r="B43" s="114">
        <f>_xlfn.COMPOUNDVALUE(329)</f>
        <v>1163</v>
      </c>
      <c r="C43" s="115">
        <v>7246816</v>
      </c>
      <c r="D43" s="114">
        <f>_xlfn.COMPOUNDVALUE(330)</f>
        <v>447</v>
      </c>
      <c r="E43" s="115">
        <v>263771</v>
      </c>
      <c r="F43" s="114">
        <f>_xlfn.COMPOUNDVALUE(331)</f>
        <v>1610</v>
      </c>
      <c r="G43" s="115">
        <v>7510587</v>
      </c>
      <c r="H43" s="114">
        <f>_xlfn.COMPOUNDVALUE(332)</f>
        <v>90</v>
      </c>
      <c r="I43" s="116">
        <v>290424</v>
      </c>
      <c r="J43" s="114">
        <v>93</v>
      </c>
      <c r="K43" s="116">
        <v>24313</v>
      </c>
      <c r="L43" s="114">
        <v>1712</v>
      </c>
      <c r="M43" s="116">
        <v>7244476</v>
      </c>
      <c r="N43" s="14" t="s">
        <v>127</v>
      </c>
    </row>
    <row r="44" spans="1:14" ht="15.75" customHeight="1">
      <c r="A44" s="13" t="s">
        <v>208</v>
      </c>
      <c r="B44" s="114">
        <f>_xlfn.COMPOUNDVALUE(333)</f>
        <v>743</v>
      </c>
      <c r="C44" s="115">
        <v>6254360</v>
      </c>
      <c r="D44" s="114">
        <f>_xlfn.COMPOUNDVALUE(334)</f>
        <v>298</v>
      </c>
      <c r="E44" s="115">
        <v>164255</v>
      </c>
      <c r="F44" s="114">
        <f>_xlfn.COMPOUNDVALUE(335)</f>
        <v>1041</v>
      </c>
      <c r="G44" s="115">
        <v>6418616</v>
      </c>
      <c r="H44" s="114">
        <f>_xlfn.COMPOUNDVALUE(336)</f>
        <v>60</v>
      </c>
      <c r="I44" s="116">
        <v>265053</v>
      </c>
      <c r="J44" s="114">
        <v>64</v>
      </c>
      <c r="K44" s="116">
        <v>-15298</v>
      </c>
      <c r="L44" s="114">
        <v>1107</v>
      </c>
      <c r="M44" s="116">
        <v>6138264</v>
      </c>
      <c r="N44" s="14" t="s">
        <v>128</v>
      </c>
    </row>
    <row r="45" spans="1:14" ht="15.75" customHeight="1">
      <c r="A45" s="13" t="s">
        <v>209</v>
      </c>
      <c r="B45" s="114">
        <f>_xlfn.COMPOUNDVALUE(337)</f>
        <v>482</v>
      </c>
      <c r="C45" s="115">
        <v>2962108</v>
      </c>
      <c r="D45" s="114">
        <f>_xlfn.COMPOUNDVALUE(338)</f>
        <v>176</v>
      </c>
      <c r="E45" s="115">
        <v>108539</v>
      </c>
      <c r="F45" s="114">
        <f>_xlfn.COMPOUNDVALUE(339)</f>
        <v>658</v>
      </c>
      <c r="G45" s="115">
        <v>3070646</v>
      </c>
      <c r="H45" s="114">
        <f>_xlfn.COMPOUNDVALUE(340)</f>
        <v>38</v>
      </c>
      <c r="I45" s="116">
        <v>318041</v>
      </c>
      <c r="J45" s="114">
        <v>21</v>
      </c>
      <c r="K45" s="116">
        <v>-17100</v>
      </c>
      <c r="L45" s="114">
        <v>698</v>
      </c>
      <c r="M45" s="116">
        <v>2735505</v>
      </c>
      <c r="N45" s="14" t="s">
        <v>129</v>
      </c>
    </row>
    <row r="46" spans="1:14" ht="15.75" customHeight="1">
      <c r="A46" s="13" t="s">
        <v>210</v>
      </c>
      <c r="B46" s="114">
        <f>_xlfn.COMPOUNDVALUE(341)</f>
        <v>1053</v>
      </c>
      <c r="C46" s="115">
        <v>5666844</v>
      </c>
      <c r="D46" s="114">
        <f>_xlfn.COMPOUNDVALUE(342)</f>
        <v>442</v>
      </c>
      <c r="E46" s="115">
        <v>281715</v>
      </c>
      <c r="F46" s="114">
        <f>_xlfn.COMPOUNDVALUE(343)</f>
        <v>1495</v>
      </c>
      <c r="G46" s="115">
        <v>5948559</v>
      </c>
      <c r="H46" s="114">
        <f>_xlfn.COMPOUNDVALUE(344)</f>
        <v>74</v>
      </c>
      <c r="I46" s="116">
        <v>300726</v>
      </c>
      <c r="J46" s="114">
        <v>104</v>
      </c>
      <c r="K46" s="116">
        <v>22850</v>
      </c>
      <c r="L46" s="114">
        <v>1581</v>
      </c>
      <c r="M46" s="116">
        <v>5670682</v>
      </c>
      <c r="N46" s="14" t="s">
        <v>130</v>
      </c>
    </row>
    <row r="47" spans="1:14" ht="15.75" customHeight="1">
      <c r="A47" s="15" t="s">
        <v>211</v>
      </c>
      <c r="B47" s="117">
        <v>8073</v>
      </c>
      <c r="C47" s="118">
        <v>53218248</v>
      </c>
      <c r="D47" s="117">
        <v>3303</v>
      </c>
      <c r="E47" s="118">
        <v>2053180</v>
      </c>
      <c r="F47" s="117">
        <v>11376</v>
      </c>
      <c r="G47" s="118">
        <v>55271428</v>
      </c>
      <c r="H47" s="117">
        <v>563</v>
      </c>
      <c r="I47" s="119">
        <v>4121947</v>
      </c>
      <c r="J47" s="117">
        <v>608</v>
      </c>
      <c r="K47" s="119">
        <v>-2477</v>
      </c>
      <c r="L47" s="117">
        <v>12014</v>
      </c>
      <c r="M47" s="119">
        <v>51147005</v>
      </c>
      <c r="N47" s="16" t="s">
        <v>131</v>
      </c>
    </row>
    <row r="48" spans="1:14" ht="15.75" customHeight="1">
      <c r="A48" s="147"/>
      <c r="B48" s="155"/>
      <c r="C48" s="146"/>
      <c r="D48" s="152"/>
      <c r="E48" s="154"/>
      <c r="F48" s="152"/>
      <c r="G48" s="154"/>
      <c r="H48" s="152"/>
      <c r="I48" s="154"/>
      <c r="J48" s="152"/>
      <c r="K48" s="150"/>
      <c r="L48" s="155"/>
      <c r="M48" s="146"/>
      <c r="N48" s="148"/>
    </row>
    <row r="49" spans="1:14" ht="15.75" customHeight="1">
      <c r="A49" s="11" t="s">
        <v>212</v>
      </c>
      <c r="B49" s="111">
        <f>_xlfn.COMPOUNDVALUE(345)</f>
        <v>3491</v>
      </c>
      <c r="C49" s="112">
        <v>28822594</v>
      </c>
      <c r="D49" s="111">
        <f>_xlfn.COMPOUNDVALUE(346)</f>
        <v>1572</v>
      </c>
      <c r="E49" s="112">
        <v>951709</v>
      </c>
      <c r="F49" s="111">
        <f>_xlfn.COMPOUNDVALUE(347)</f>
        <v>5063</v>
      </c>
      <c r="G49" s="112">
        <v>29774303</v>
      </c>
      <c r="H49" s="111">
        <f>_xlfn.COMPOUNDVALUE(348)</f>
        <v>177</v>
      </c>
      <c r="I49" s="113">
        <v>1487357</v>
      </c>
      <c r="J49" s="111">
        <v>270</v>
      </c>
      <c r="K49" s="113">
        <v>20661</v>
      </c>
      <c r="L49" s="111">
        <v>5273</v>
      </c>
      <c r="M49" s="113">
        <v>28307608</v>
      </c>
      <c r="N49" s="24" t="s">
        <v>132</v>
      </c>
    </row>
    <row r="50" spans="1:14" ht="15.75" customHeight="1">
      <c r="A50" s="13" t="s">
        <v>213</v>
      </c>
      <c r="B50" s="114">
        <f>_xlfn.COMPOUNDVALUE(349)</f>
        <v>1460</v>
      </c>
      <c r="C50" s="115">
        <v>9084880</v>
      </c>
      <c r="D50" s="114">
        <f>_xlfn.COMPOUNDVALUE(350)</f>
        <v>635</v>
      </c>
      <c r="E50" s="115">
        <v>364142</v>
      </c>
      <c r="F50" s="114">
        <f>_xlfn.COMPOUNDVALUE(351)</f>
        <v>2095</v>
      </c>
      <c r="G50" s="115">
        <v>9449022</v>
      </c>
      <c r="H50" s="114">
        <f>_xlfn.COMPOUNDVALUE(352)</f>
        <v>99</v>
      </c>
      <c r="I50" s="116">
        <v>1308438</v>
      </c>
      <c r="J50" s="114">
        <v>111</v>
      </c>
      <c r="K50" s="116">
        <v>24370</v>
      </c>
      <c r="L50" s="114">
        <v>2221</v>
      </c>
      <c r="M50" s="116">
        <v>8164954</v>
      </c>
      <c r="N50" s="14" t="s">
        <v>133</v>
      </c>
    </row>
    <row r="51" spans="1:14" ht="15.75" customHeight="1">
      <c r="A51" s="13" t="s">
        <v>214</v>
      </c>
      <c r="B51" s="114">
        <f>_xlfn.COMPOUNDVALUE(353)</f>
        <v>1304</v>
      </c>
      <c r="C51" s="115">
        <v>8730252</v>
      </c>
      <c r="D51" s="114">
        <f>_xlfn.COMPOUNDVALUE(354)</f>
        <v>538</v>
      </c>
      <c r="E51" s="115">
        <v>327018</v>
      </c>
      <c r="F51" s="114">
        <f>_xlfn.COMPOUNDVALUE(355)</f>
        <v>1842</v>
      </c>
      <c r="G51" s="115">
        <v>9057270</v>
      </c>
      <c r="H51" s="114">
        <f>_xlfn.COMPOUNDVALUE(356)</f>
        <v>96</v>
      </c>
      <c r="I51" s="116">
        <v>403657</v>
      </c>
      <c r="J51" s="114">
        <v>82</v>
      </c>
      <c r="K51" s="116">
        <v>4803</v>
      </c>
      <c r="L51" s="114">
        <v>1949</v>
      </c>
      <c r="M51" s="116">
        <v>8658416</v>
      </c>
      <c r="N51" s="14" t="s">
        <v>134</v>
      </c>
    </row>
    <row r="52" spans="1:14" ht="15.75" customHeight="1">
      <c r="A52" s="13" t="s">
        <v>215</v>
      </c>
      <c r="B52" s="114">
        <f>_xlfn.COMPOUNDVALUE(357)</f>
        <v>1050</v>
      </c>
      <c r="C52" s="115">
        <v>7836702</v>
      </c>
      <c r="D52" s="114">
        <f>_xlfn.COMPOUNDVALUE(358)</f>
        <v>524</v>
      </c>
      <c r="E52" s="115">
        <v>290073</v>
      </c>
      <c r="F52" s="114">
        <f>_xlfn.COMPOUNDVALUE(359)</f>
        <v>1574</v>
      </c>
      <c r="G52" s="115">
        <v>8126774</v>
      </c>
      <c r="H52" s="114">
        <f>_xlfn.COMPOUNDVALUE(360)</f>
        <v>92</v>
      </c>
      <c r="I52" s="116">
        <v>225800</v>
      </c>
      <c r="J52" s="114">
        <v>82</v>
      </c>
      <c r="K52" s="116">
        <v>7924</v>
      </c>
      <c r="L52" s="114">
        <v>1675</v>
      </c>
      <c r="M52" s="116">
        <v>7908899</v>
      </c>
      <c r="N52" s="14" t="s">
        <v>135</v>
      </c>
    </row>
    <row r="53" spans="1:14" ht="15.75" customHeight="1">
      <c r="A53" s="13" t="s">
        <v>216</v>
      </c>
      <c r="B53" s="114">
        <f>_xlfn.COMPOUNDVALUE(361)</f>
        <v>641</v>
      </c>
      <c r="C53" s="115">
        <v>3755268</v>
      </c>
      <c r="D53" s="114">
        <f>_xlfn.COMPOUNDVALUE(362)</f>
        <v>264</v>
      </c>
      <c r="E53" s="115">
        <v>182053</v>
      </c>
      <c r="F53" s="114">
        <f>_xlfn.COMPOUNDVALUE(363)</f>
        <v>905</v>
      </c>
      <c r="G53" s="115">
        <v>3937321</v>
      </c>
      <c r="H53" s="114">
        <f>_xlfn.COMPOUNDVALUE(364)</f>
        <v>34</v>
      </c>
      <c r="I53" s="116">
        <v>136314</v>
      </c>
      <c r="J53" s="114">
        <v>77</v>
      </c>
      <c r="K53" s="116">
        <v>3367</v>
      </c>
      <c r="L53" s="114">
        <v>951</v>
      </c>
      <c r="M53" s="116">
        <v>3804374</v>
      </c>
      <c r="N53" s="14" t="s">
        <v>136</v>
      </c>
    </row>
    <row r="54" spans="1:14" ht="15.75" customHeight="1">
      <c r="A54" s="13" t="s">
        <v>217</v>
      </c>
      <c r="B54" s="114">
        <f>_xlfn.COMPOUNDVALUE(365)</f>
        <v>678</v>
      </c>
      <c r="C54" s="115">
        <v>4583577</v>
      </c>
      <c r="D54" s="114">
        <f>_xlfn.COMPOUNDVALUE(366)</f>
        <v>276</v>
      </c>
      <c r="E54" s="115">
        <v>157206</v>
      </c>
      <c r="F54" s="114">
        <f>_xlfn.COMPOUNDVALUE(367)</f>
        <v>954</v>
      </c>
      <c r="G54" s="115">
        <v>4740783</v>
      </c>
      <c r="H54" s="114">
        <f>_xlfn.COMPOUNDVALUE(368)</f>
        <v>39</v>
      </c>
      <c r="I54" s="116">
        <v>118169</v>
      </c>
      <c r="J54" s="114">
        <v>35</v>
      </c>
      <c r="K54" s="116">
        <v>5783</v>
      </c>
      <c r="L54" s="114">
        <v>1001</v>
      </c>
      <c r="M54" s="116">
        <v>4628397</v>
      </c>
      <c r="N54" s="14" t="s">
        <v>137</v>
      </c>
    </row>
    <row r="55" spans="1:14" ht="15.75" customHeight="1">
      <c r="A55" s="13" t="s">
        <v>218</v>
      </c>
      <c r="B55" s="114">
        <f>_xlfn.COMPOUNDVALUE(369)</f>
        <v>734</v>
      </c>
      <c r="C55" s="115">
        <v>5032159</v>
      </c>
      <c r="D55" s="114">
        <f>_xlfn.COMPOUNDVALUE(370)</f>
        <v>244</v>
      </c>
      <c r="E55" s="115">
        <v>157669</v>
      </c>
      <c r="F55" s="114">
        <f>_xlfn.COMPOUNDVALUE(371)</f>
        <v>978</v>
      </c>
      <c r="G55" s="115">
        <v>5189828</v>
      </c>
      <c r="H55" s="114">
        <f>_xlfn.COMPOUNDVALUE(372)</f>
        <v>57</v>
      </c>
      <c r="I55" s="116">
        <v>1268910</v>
      </c>
      <c r="J55" s="114">
        <v>59</v>
      </c>
      <c r="K55" s="116">
        <v>-14692</v>
      </c>
      <c r="L55" s="114">
        <v>1038</v>
      </c>
      <c r="M55" s="116">
        <v>3906226</v>
      </c>
      <c r="N55" s="14" t="s">
        <v>138</v>
      </c>
    </row>
    <row r="56" spans="1:14" ht="15.75" customHeight="1">
      <c r="A56" s="13" t="s">
        <v>219</v>
      </c>
      <c r="B56" s="114">
        <f>_xlfn.COMPOUNDVALUE(373)</f>
        <v>542</v>
      </c>
      <c r="C56" s="115">
        <v>3672657</v>
      </c>
      <c r="D56" s="114">
        <f>_xlfn.COMPOUNDVALUE(374)</f>
        <v>216</v>
      </c>
      <c r="E56" s="115">
        <v>131198</v>
      </c>
      <c r="F56" s="114">
        <f>_xlfn.COMPOUNDVALUE(375)</f>
        <v>758</v>
      </c>
      <c r="G56" s="115">
        <v>3803855</v>
      </c>
      <c r="H56" s="114">
        <f>_xlfn.COMPOUNDVALUE(376)</f>
        <v>30</v>
      </c>
      <c r="I56" s="116">
        <v>322301</v>
      </c>
      <c r="J56" s="114">
        <v>29</v>
      </c>
      <c r="K56" s="116">
        <v>6471</v>
      </c>
      <c r="L56" s="114">
        <v>792</v>
      </c>
      <c r="M56" s="116">
        <v>3488025</v>
      </c>
      <c r="N56" s="14" t="s">
        <v>139</v>
      </c>
    </row>
    <row r="57" spans="1:14" ht="15.75" customHeight="1">
      <c r="A57" s="15" t="s">
        <v>220</v>
      </c>
      <c r="B57" s="117">
        <v>9900</v>
      </c>
      <c r="C57" s="118">
        <v>71518088</v>
      </c>
      <c r="D57" s="117">
        <v>4269</v>
      </c>
      <c r="E57" s="118">
        <v>2561067</v>
      </c>
      <c r="F57" s="117">
        <v>14169</v>
      </c>
      <c r="G57" s="118">
        <v>74079155</v>
      </c>
      <c r="H57" s="117">
        <v>624</v>
      </c>
      <c r="I57" s="119">
        <v>5270945</v>
      </c>
      <c r="J57" s="117">
        <v>745</v>
      </c>
      <c r="K57" s="119">
        <v>58688</v>
      </c>
      <c r="L57" s="117">
        <v>14900</v>
      </c>
      <c r="M57" s="119">
        <v>68866899</v>
      </c>
      <c r="N57" s="16" t="s">
        <v>140</v>
      </c>
    </row>
    <row r="58" spans="1:14" ht="15.75" customHeight="1">
      <c r="A58" s="147"/>
      <c r="B58" s="155"/>
      <c r="C58" s="146"/>
      <c r="D58" s="152"/>
      <c r="E58" s="154"/>
      <c r="F58" s="152"/>
      <c r="G58" s="154"/>
      <c r="H58" s="152"/>
      <c r="I58" s="154"/>
      <c r="J58" s="152"/>
      <c r="K58" s="150"/>
      <c r="L58" s="155"/>
      <c r="M58" s="146"/>
      <c r="N58" s="148"/>
    </row>
    <row r="59" spans="1:14" ht="15.75" customHeight="1">
      <c r="A59" s="11" t="s">
        <v>221</v>
      </c>
      <c r="B59" s="111">
        <f>_xlfn.COMPOUNDVALUE(377)</f>
        <v>3454</v>
      </c>
      <c r="C59" s="112">
        <v>26006379</v>
      </c>
      <c r="D59" s="111">
        <f>_xlfn.COMPOUNDVALUE(378)</f>
        <v>1448</v>
      </c>
      <c r="E59" s="112">
        <v>855744</v>
      </c>
      <c r="F59" s="111">
        <f>_xlfn.COMPOUNDVALUE(379)</f>
        <v>4902</v>
      </c>
      <c r="G59" s="112">
        <v>26862122</v>
      </c>
      <c r="H59" s="111">
        <f>_xlfn.COMPOUNDVALUE(380)</f>
        <v>204</v>
      </c>
      <c r="I59" s="113">
        <v>2193527</v>
      </c>
      <c r="J59" s="111">
        <v>280</v>
      </c>
      <c r="K59" s="113">
        <v>136981</v>
      </c>
      <c r="L59" s="111">
        <v>5140</v>
      </c>
      <c r="M59" s="113">
        <v>24805576</v>
      </c>
      <c r="N59" s="24" t="s">
        <v>142</v>
      </c>
    </row>
    <row r="60" spans="1:14" ht="15.75" customHeight="1">
      <c r="A60" s="11" t="s">
        <v>222</v>
      </c>
      <c r="B60" s="111">
        <f>_xlfn.COMPOUNDVALUE(381)</f>
        <v>1643</v>
      </c>
      <c r="C60" s="112">
        <v>10268335</v>
      </c>
      <c r="D60" s="111">
        <f>_xlfn.COMPOUNDVALUE(382)</f>
        <v>904</v>
      </c>
      <c r="E60" s="112">
        <v>530921</v>
      </c>
      <c r="F60" s="111">
        <f>_xlfn.COMPOUNDVALUE(383)</f>
        <v>2547</v>
      </c>
      <c r="G60" s="112">
        <v>10799256</v>
      </c>
      <c r="H60" s="111">
        <f>_xlfn.COMPOUNDVALUE(384)</f>
        <v>105</v>
      </c>
      <c r="I60" s="113">
        <v>1018899</v>
      </c>
      <c r="J60" s="111">
        <v>141</v>
      </c>
      <c r="K60" s="113">
        <v>2342</v>
      </c>
      <c r="L60" s="111">
        <v>2667</v>
      </c>
      <c r="M60" s="113">
        <v>9782700</v>
      </c>
      <c r="N60" s="12" t="s">
        <v>143</v>
      </c>
    </row>
    <row r="61" spans="1:14" ht="15.75" customHeight="1">
      <c r="A61" s="11" t="s">
        <v>223</v>
      </c>
      <c r="B61" s="111">
        <f>_xlfn.COMPOUNDVALUE(385)</f>
        <v>4434</v>
      </c>
      <c r="C61" s="112">
        <v>36929404</v>
      </c>
      <c r="D61" s="111">
        <f>_xlfn.COMPOUNDVALUE(386)</f>
        <v>1869</v>
      </c>
      <c r="E61" s="112">
        <v>1188764</v>
      </c>
      <c r="F61" s="111">
        <f>_xlfn.COMPOUNDVALUE(387)</f>
        <v>6303</v>
      </c>
      <c r="G61" s="112">
        <v>38118168</v>
      </c>
      <c r="H61" s="111">
        <f>_xlfn.COMPOUNDVALUE(388)</f>
        <v>254</v>
      </c>
      <c r="I61" s="113">
        <v>2362324</v>
      </c>
      <c r="J61" s="111">
        <v>244</v>
      </c>
      <c r="K61" s="113">
        <v>67930</v>
      </c>
      <c r="L61" s="111">
        <v>6604</v>
      </c>
      <c r="M61" s="113">
        <v>35823774</v>
      </c>
      <c r="N61" s="12" t="s">
        <v>144</v>
      </c>
    </row>
    <row r="62" spans="1:14" ht="15.75" customHeight="1">
      <c r="A62" s="13" t="s">
        <v>68</v>
      </c>
      <c r="B62" s="114">
        <f>_xlfn.COMPOUNDVALUE(389)</f>
        <v>3595</v>
      </c>
      <c r="C62" s="115">
        <v>23900250</v>
      </c>
      <c r="D62" s="114">
        <f>_xlfn.COMPOUNDVALUE(390)</f>
        <v>1582</v>
      </c>
      <c r="E62" s="115">
        <v>1029000</v>
      </c>
      <c r="F62" s="114">
        <f>_xlfn.COMPOUNDVALUE(391)</f>
        <v>5177</v>
      </c>
      <c r="G62" s="115">
        <v>24929250</v>
      </c>
      <c r="H62" s="114">
        <f>_xlfn.COMPOUNDVALUE(392)</f>
        <v>187</v>
      </c>
      <c r="I62" s="116">
        <v>3464621</v>
      </c>
      <c r="J62" s="114">
        <v>221</v>
      </c>
      <c r="K62" s="116">
        <v>-464723</v>
      </c>
      <c r="L62" s="114">
        <v>5403</v>
      </c>
      <c r="M62" s="116">
        <v>20999906</v>
      </c>
      <c r="N62" s="14" t="s">
        <v>68</v>
      </c>
    </row>
    <row r="63" spans="1:14" ht="15.75" customHeight="1">
      <c r="A63" s="13" t="s">
        <v>224</v>
      </c>
      <c r="B63" s="114">
        <f>_xlfn.COMPOUNDVALUE(393)</f>
        <v>1220</v>
      </c>
      <c r="C63" s="115">
        <v>7694513</v>
      </c>
      <c r="D63" s="114">
        <f>_xlfn.COMPOUNDVALUE(394)</f>
        <v>481</v>
      </c>
      <c r="E63" s="115">
        <v>293200</v>
      </c>
      <c r="F63" s="114">
        <f>_xlfn.COMPOUNDVALUE(395)</f>
        <v>1701</v>
      </c>
      <c r="G63" s="115">
        <v>7987713</v>
      </c>
      <c r="H63" s="114">
        <f>_xlfn.COMPOUNDVALUE(396)</f>
        <v>80</v>
      </c>
      <c r="I63" s="116">
        <v>373464</v>
      </c>
      <c r="J63" s="114">
        <v>82</v>
      </c>
      <c r="K63" s="116">
        <v>-60060</v>
      </c>
      <c r="L63" s="114">
        <v>1788</v>
      </c>
      <c r="M63" s="116">
        <v>7554189</v>
      </c>
      <c r="N63" s="14" t="s">
        <v>145</v>
      </c>
    </row>
    <row r="64" spans="1:14" ht="15.75" customHeight="1">
      <c r="A64" s="13" t="s">
        <v>225</v>
      </c>
      <c r="B64" s="114">
        <f>_xlfn.COMPOUNDVALUE(397)</f>
        <v>1186</v>
      </c>
      <c r="C64" s="115">
        <v>7198636</v>
      </c>
      <c r="D64" s="114">
        <f>_xlfn.COMPOUNDVALUE(398)</f>
        <v>573</v>
      </c>
      <c r="E64" s="115">
        <v>341260</v>
      </c>
      <c r="F64" s="114">
        <f>_xlfn.COMPOUNDVALUE(399)</f>
        <v>1759</v>
      </c>
      <c r="G64" s="115">
        <v>7539896</v>
      </c>
      <c r="H64" s="114">
        <f>_xlfn.COMPOUNDVALUE(400)</f>
        <v>58</v>
      </c>
      <c r="I64" s="116">
        <v>452889</v>
      </c>
      <c r="J64" s="114">
        <v>62</v>
      </c>
      <c r="K64" s="116">
        <v>13210</v>
      </c>
      <c r="L64" s="114">
        <v>1825</v>
      </c>
      <c r="M64" s="116">
        <v>7100217</v>
      </c>
      <c r="N64" s="14" t="s">
        <v>146</v>
      </c>
    </row>
    <row r="65" spans="1:14" ht="15.75" customHeight="1">
      <c r="A65" s="13" t="s">
        <v>226</v>
      </c>
      <c r="B65" s="114">
        <f>_xlfn.COMPOUNDVALUE(401)</f>
        <v>436</v>
      </c>
      <c r="C65" s="115">
        <v>2620508</v>
      </c>
      <c r="D65" s="114">
        <f>_xlfn.COMPOUNDVALUE(402)</f>
        <v>276</v>
      </c>
      <c r="E65" s="115">
        <v>191141</v>
      </c>
      <c r="F65" s="114">
        <f>_xlfn.COMPOUNDVALUE(403)</f>
        <v>712</v>
      </c>
      <c r="G65" s="115">
        <v>2811649</v>
      </c>
      <c r="H65" s="114">
        <f>_xlfn.COMPOUNDVALUE(404)</f>
        <v>19</v>
      </c>
      <c r="I65" s="116">
        <v>48253</v>
      </c>
      <c r="J65" s="114">
        <v>21</v>
      </c>
      <c r="K65" s="116">
        <v>3320</v>
      </c>
      <c r="L65" s="114">
        <v>738</v>
      </c>
      <c r="M65" s="116">
        <v>2766716</v>
      </c>
      <c r="N65" s="14" t="s">
        <v>147</v>
      </c>
    </row>
    <row r="66" spans="1:14" ht="15.75" customHeight="1">
      <c r="A66" s="13" t="s">
        <v>227</v>
      </c>
      <c r="B66" s="114">
        <f>_xlfn.COMPOUNDVALUE(405)</f>
        <v>1700</v>
      </c>
      <c r="C66" s="115">
        <v>15351485</v>
      </c>
      <c r="D66" s="114">
        <f>_xlfn.COMPOUNDVALUE(406)</f>
        <v>539</v>
      </c>
      <c r="E66" s="115">
        <v>357305</v>
      </c>
      <c r="F66" s="114">
        <f>_xlfn.COMPOUNDVALUE(407)</f>
        <v>2239</v>
      </c>
      <c r="G66" s="115">
        <v>15708791</v>
      </c>
      <c r="H66" s="114">
        <f>_xlfn.COMPOUNDVALUE(408)</f>
        <v>180</v>
      </c>
      <c r="I66" s="116">
        <v>1025002</v>
      </c>
      <c r="J66" s="114">
        <v>143</v>
      </c>
      <c r="K66" s="116">
        <v>127921</v>
      </c>
      <c r="L66" s="114">
        <v>2474</v>
      </c>
      <c r="M66" s="116">
        <v>14811709</v>
      </c>
      <c r="N66" s="14" t="s">
        <v>148</v>
      </c>
    </row>
    <row r="67" spans="1:14" ht="15.75" customHeight="1">
      <c r="A67" s="13" t="s">
        <v>228</v>
      </c>
      <c r="B67" s="114">
        <f>_xlfn.COMPOUNDVALUE(409)</f>
        <v>871</v>
      </c>
      <c r="C67" s="115">
        <v>5761219</v>
      </c>
      <c r="D67" s="114">
        <f>_xlfn.COMPOUNDVALUE(410)</f>
        <v>323</v>
      </c>
      <c r="E67" s="115">
        <v>197138</v>
      </c>
      <c r="F67" s="114">
        <f>_xlfn.COMPOUNDVALUE(411)</f>
        <v>1194</v>
      </c>
      <c r="G67" s="115">
        <v>5958357</v>
      </c>
      <c r="H67" s="114">
        <f>_xlfn.COMPOUNDVALUE(412)</f>
        <v>57</v>
      </c>
      <c r="I67" s="116">
        <v>84143</v>
      </c>
      <c r="J67" s="114">
        <v>56</v>
      </c>
      <c r="K67" s="116">
        <v>39268</v>
      </c>
      <c r="L67" s="114">
        <v>1265</v>
      </c>
      <c r="M67" s="116">
        <v>5913482</v>
      </c>
      <c r="N67" s="14" t="s">
        <v>149</v>
      </c>
    </row>
    <row r="68" spans="1:14" ht="15.75" customHeight="1">
      <c r="A68" s="13" t="s">
        <v>229</v>
      </c>
      <c r="B68" s="114">
        <f>_xlfn.COMPOUNDVALUE(413)</f>
        <v>273</v>
      </c>
      <c r="C68" s="115">
        <v>1091830</v>
      </c>
      <c r="D68" s="114">
        <f>_xlfn.COMPOUNDVALUE(414)</f>
        <v>136</v>
      </c>
      <c r="E68" s="115">
        <v>87575</v>
      </c>
      <c r="F68" s="114">
        <f>_xlfn.COMPOUNDVALUE(415)</f>
        <v>409</v>
      </c>
      <c r="G68" s="115">
        <v>1179405</v>
      </c>
      <c r="H68" s="114">
        <f>_xlfn.COMPOUNDVALUE(416)</f>
        <v>25</v>
      </c>
      <c r="I68" s="116">
        <v>106900</v>
      </c>
      <c r="J68" s="114">
        <v>22</v>
      </c>
      <c r="K68" s="116">
        <v>1241</v>
      </c>
      <c r="L68" s="114">
        <v>437</v>
      </c>
      <c r="M68" s="116">
        <v>1073746</v>
      </c>
      <c r="N68" s="14" t="s">
        <v>150</v>
      </c>
    </row>
    <row r="69" spans="1:14" ht="15.75" customHeight="1">
      <c r="A69" s="15" t="s">
        <v>230</v>
      </c>
      <c r="B69" s="117">
        <v>18812</v>
      </c>
      <c r="C69" s="118">
        <v>136822559</v>
      </c>
      <c r="D69" s="117">
        <v>8131</v>
      </c>
      <c r="E69" s="118">
        <v>5072048</v>
      </c>
      <c r="F69" s="117">
        <v>26943</v>
      </c>
      <c r="G69" s="118">
        <v>141894607</v>
      </c>
      <c r="H69" s="117">
        <v>1169</v>
      </c>
      <c r="I69" s="119">
        <v>11130022</v>
      </c>
      <c r="J69" s="117">
        <v>1272</v>
      </c>
      <c r="K69" s="119">
        <v>-132570</v>
      </c>
      <c r="L69" s="117">
        <v>28341</v>
      </c>
      <c r="M69" s="119">
        <v>130632015</v>
      </c>
      <c r="N69" s="16" t="s">
        <v>151</v>
      </c>
    </row>
    <row r="70" spans="1:14" ht="15.75" customHeight="1" thickBot="1">
      <c r="A70" s="18"/>
      <c r="B70" s="123"/>
      <c r="C70" s="124"/>
      <c r="D70" s="123"/>
      <c r="E70" s="124"/>
      <c r="F70" s="125"/>
      <c r="G70" s="124"/>
      <c r="H70" s="125"/>
      <c r="I70" s="124"/>
      <c r="J70" s="125"/>
      <c r="K70" s="124"/>
      <c r="L70" s="125"/>
      <c r="M70" s="124"/>
      <c r="N70" s="19"/>
    </row>
    <row r="71" spans="1:14" ht="15.75" customHeight="1" thickBot="1" thickTop="1">
      <c r="A71" s="21" t="s">
        <v>231</v>
      </c>
      <c r="B71" s="126">
        <v>79090</v>
      </c>
      <c r="C71" s="127">
        <v>627123250</v>
      </c>
      <c r="D71" s="126">
        <v>31900</v>
      </c>
      <c r="E71" s="127">
        <v>20205061</v>
      </c>
      <c r="F71" s="126">
        <v>110990</v>
      </c>
      <c r="G71" s="127">
        <v>647328311</v>
      </c>
      <c r="H71" s="126">
        <v>5270</v>
      </c>
      <c r="I71" s="128">
        <v>44238954</v>
      </c>
      <c r="J71" s="126">
        <v>6127</v>
      </c>
      <c r="K71" s="128">
        <v>951912</v>
      </c>
      <c r="L71" s="126">
        <v>117209</v>
      </c>
      <c r="M71" s="128">
        <v>604041270</v>
      </c>
      <c r="N71" s="22" t="s">
        <v>94</v>
      </c>
    </row>
    <row r="72" spans="1:14" ht="13.5">
      <c r="A72" s="225" t="s">
        <v>234</v>
      </c>
      <c r="B72" s="225"/>
      <c r="C72" s="225"/>
      <c r="D72" s="225"/>
      <c r="E72" s="225"/>
      <c r="F72" s="225"/>
      <c r="G72" s="225"/>
      <c r="H72" s="225"/>
      <c r="I72" s="225"/>
      <c r="J72" s="25"/>
      <c r="K72" s="25"/>
      <c r="L72" s="2"/>
      <c r="M72" s="2"/>
      <c r="N72" s="2"/>
    </row>
  </sheetData>
  <sheetProtection/>
  <mergeCells count="11">
    <mergeCell ref="L3:M4"/>
    <mergeCell ref="A72:I72"/>
    <mergeCell ref="A2:I2"/>
    <mergeCell ref="A3:A5"/>
    <mergeCell ref="B3:G3"/>
    <mergeCell ref="H3:I4"/>
    <mergeCell ref="N3:N5"/>
    <mergeCell ref="B4:C4"/>
    <mergeCell ref="D4:E4"/>
    <mergeCell ref="F4:G4"/>
    <mergeCell ref="J3:K4"/>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84" r:id="rId1"/>
  <headerFooter alignWithMargins="0">
    <oddFooter>&amp;R仙台国税局
消費税
(R01)</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R72"/>
  <sheetViews>
    <sheetView showGridLines="0" zoomScaleSheetLayoutView="85" workbookViewId="0" topLeftCell="A1">
      <selection activeCell="P59" sqref="P59"/>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239</v>
      </c>
      <c r="B1" s="1"/>
      <c r="C1" s="1"/>
      <c r="D1" s="1"/>
      <c r="E1" s="1"/>
      <c r="F1" s="1"/>
      <c r="G1" s="1"/>
      <c r="H1" s="1"/>
      <c r="I1" s="1"/>
      <c r="J1" s="1"/>
      <c r="K1" s="1"/>
      <c r="L1" s="2"/>
      <c r="M1" s="2"/>
      <c r="N1" s="2"/>
      <c r="O1" s="2"/>
      <c r="P1" s="2"/>
    </row>
    <row r="2" spans="1:16" ht="14.25" thickBot="1">
      <c r="A2" s="240" t="s">
        <v>84</v>
      </c>
      <c r="B2" s="240"/>
      <c r="C2" s="240"/>
      <c r="D2" s="240"/>
      <c r="E2" s="240"/>
      <c r="F2" s="240"/>
      <c r="G2" s="240"/>
      <c r="H2" s="240"/>
      <c r="I2" s="240"/>
      <c r="J2" s="25"/>
      <c r="K2" s="25"/>
      <c r="L2" s="2"/>
      <c r="M2" s="2"/>
      <c r="N2" s="2"/>
      <c r="O2" s="2"/>
      <c r="P2" s="2"/>
    </row>
    <row r="3" spans="1:18" ht="19.5" customHeight="1">
      <c r="A3" s="226" t="s">
        <v>1</v>
      </c>
      <c r="B3" s="229" t="s">
        <v>2</v>
      </c>
      <c r="C3" s="229"/>
      <c r="D3" s="229"/>
      <c r="E3" s="229"/>
      <c r="F3" s="229"/>
      <c r="G3" s="229"/>
      <c r="H3" s="229" t="s">
        <v>3</v>
      </c>
      <c r="I3" s="229"/>
      <c r="J3" s="248" t="s">
        <v>4</v>
      </c>
      <c r="K3" s="229"/>
      <c r="L3" s="229" t="s">
        <v>5</v>
      </c>
      <c r="M3" s="229"/>
      <c r="N3" s="249" t="s">
        <v>85</v>
      </c>
      <c r="O3" s="250"/>
      <c r="P3" s="250"/>
      <c r="Q3" s="250"/>
      <c r="R3" s="234" t="s">
        <v>77</v>
      </c>
    </row>
    <row r="4" spans="1:18" ht="17.25" customHeight="1">
      <c r="A4" s="227"/>
      <c r="B4" s="237" t="s">
        <v>7</v>
      </c>
      <c r="C4" s="237"/>
      <c r="D4" s="237" t="s">
        <v>8</v>
      </c>
      <c r="E4" s="237"/>
      <c r="F4" s="237" t="s">
        <v>9</v>
      </c>
      <c r="G4" s="237"/>
      <c r="H4" s="237"/>
      <c r="I4" s="237"/>
      <c r="J4" s="237"/>
      <c r="K4" s="237"/>
      <c r="L4" s="237"/>
      <c r="M4" s="237"/>
      <c r="N4" s="241" t="s">
        <v>86</v>
      </c>
      <c r="O4" s="243" t="s">
        <v>87</v>
      </c>
      <c r="P4" s="245" t="s">
        <v>88</v>
      </c>
      <c r="Q4" s="233" t="s">
        <v>89</v>
      </c>
      <c r="R4" s="235"/>
    </row>
    <row r="5" spans="1:18" ht="28.5" customHeight="1">
      <c r="A5" s="228"/>
      <c r="B5" s="33" t="s">
        <v>10</v>
      </c>
      <c r="C5" s="34" t="s">
        <v>11</v>
      </c>
      <c r="D5" s="33" t="s">
        <v>10</v>
      </c>
      <c r="E5" s="34" t="s">
        <v>11</v>
      </c>
      <c r="F5" s="33" t="s">
        <v>10</v>
      </c>
      <c r="G5" s="34" t="s">
        <v>12</v>
      </c>
      <c r="H5" s="33" t="s">
        <v>10</v>
      </c>
      <c r="I5" s="34" t="s">
        <v>13</v>
      </c>
      <c r="J5" s="33" t="s">
        <v>10</v>
      </c>
      <c r="K5" s="34" t="s">
        <v>14</v>
      </c>
      <c r="L5" s="33" t="s">
        <v>10</v>
      </c>
      <c r="M5" s="29" t="s">
        <v>93</v>
      </c>
      <c r="N5" s="242"/>
      <c r="O5" s="244"/>
      <c r="P5" s="246"/>
      <c r="Q5" s="247"/>
      <c r="R5" s="236"/>
    </row>
    <row r="6" spans="1:18" s="27" customFormat="1" ht="10.5">
      <c r="A6" s="5"/>
      <c r="B6" s="6" t="s">
        <v>15</v>
      </c>
      <c r="C6" s="7" t="s">
        <v>16</v>
      </c>
      <c r="D6" s="6" t="s">
        <v>15</v>
      </c>
      <c r="E6" s="7" t="s">
        <v>16</v>
      </c>
      <c r="F6" s="6" t="s">
        <v>15</v>
      </c>
      <c r="G6" s="7" t="s">
        <v>16</v>
      </c>
      <c r="H6" s="6" t="s">
        <v>15</v>
      </c>
      <c r="I6" s="7" t="s">
        <v>16</v>
      </c>
      <c r="J6" s="6" t="s">
        <v>15</v>
      </c>
      <c r="K6" s="7" t="s">
        <v>16</v>
      </c>
      <c r="L6" s="6" t="s">
        <v>237</v>
      </c>
      <c r="M6" s="7" t="s">
        <v>16</v>
      </c>
      <c r="N6" s="6" t="s">
        <v>15</v>
      </c>
      <c r="O6" s="30" t="s">
        <v>15</v>
      </c>
      <c r="P6" s="30" t="s">
        <v>15</v>
      </c>
      <c r="Q6" s="31" t="s">
        <v>15</v>
      </c>
      <c r="R6" s="9"/>
    </row>
    <row r="7" spans="1:18" ht="15.75" customHeight="1">
      <c r="A7" s="11" t="s">
        <v>18</v>
      </c>
      <c r="B7" s="111">
        <f>_xlfn.COMPOUNDVALUE(417)</f>
        <v>3449</v>
      </c>
      <c r="C7" s="112">
        <v>31602599</v>
      </c>
      <c r="D7" s="111">
        <f>_xlfn.COMPOUNDVALUE(418)</f>
        <v>2638</v>
      </c>
      <c r="E7" s="112">
        <v>1307255</v>
      </c>
      <c r="F7" s="111">
        <f>_xlfn.COMPOUNDVALUE(419)</f>
        <v>6087</v>
      </c>
      <c r="G7" s="112">
        <v>32909854</v>
      </c>
      <c r="H7" s="111">
        <f>_xlfn.COMPOUNDVALUE(420)</f>
        <v>212</v>
      </c>
      <c r="I7" s="113">
        <v>1151504</v>
      </c>
      <c r="J7" s="111">
        <v>517</v>
      </c>
      <c r="K7" s="113">
        <v>123418</v>
      </c>
      <c r="L7" s="111">
        <v>6425</v>
      </c>
      <c r="M7" s="113">
        <v>31881768</v>
      </c>
      <c r="N7" s="175">
        <v>6296</v>
      </c>
      <c r="O7" s="176">
        <v>181</v>
      </c>
      <c r="P7" s="176">
        <v>13</v>
      </c>
      <c r="Q7" s="177">
        <v>6490</v>
      </c>
      <c r="R7" s="12" t="s">
        <v>96</v>
      </c>
    </row>
    <row r="8" spans="1:18" ht="15.75" customHeight="1">
      <c r="A8" s="13" t="s">
        <v>19</v>
      </c>
      <c r="B8" s="114">
        <f>_xlfn.COMPOUNDVALUE(421)</f>
        <v>2027</v>
      </c>
      <c r="C8" s="115">
        <v>9884399</v>
      </c>
      <c r="D8" s="114">
        <f>_xlfn.COMPOUNDVALUE(422)</f>
        <v>1815</v>
      </c>
      <c r="E8" s="115">
        <v>793503</v>
      </c>
      <c r="F8" s="114">
        <f>_xlfn.COMPOUNDVALUE(423)</f>
        <v>3842</v>
      </c>
      <c r="G8" s="115">
        <v>10677902</v>
      </c>
      <c r="H8" s="114">
        <f>_xlfn.COMPOUNDVALUE(424)</f>
        <v>132</v>
      </c>
      <c r="I8" s="116">
        <v>555454</v>
      </c>
      <c r="J8" s="114">
        <v>254</v>
      </c>
      <c r="K8" s="116">
        <v>28708</v>
      </c>
      <c r="L8" s="114">
        <v>4038</v>
      </c>
      <c r="M8" s="116">
        <v>10151156</v>
      </c>
      <c r="N8" s="175">
        <v>4023</v>
      </c>
      <c r="O8" s="176">
        <v>79</v>
      </c>
      <c r="P8" s="176">
        <v>8</v>
      </c>
      <c r="Q8" s="177">
        <v>4110</v>
      </c>
      <c r="R8" s="14" t="s">
        <v>97</v>
      </c>
    </row>
    <row r="9" spans="1:18" ht="15.75" customHeight="1">
      <c r="A9" s="13" t="s">
        <v>20</v>
      </c>
      <c r="B9" s="114">
        <f>_xlfn.COMPOUNDVALUE(425)</f>
        <v>3644</v>
      </c>
      <c r="C9" s="115">
        <v>22138105</v>
      </c>
      <c r="D9" s="114">
        <f>_xlfn.COMPOUNDVALUE(426)</f>
        <v>2549</v>
      </c>
      <c r="E9" s="115">
        <v>1241003</v>
      </c>
      <c r="F9" s="114">
        <f>_xlfn.COMPOUNDVALUE(427)</f>
        <v>6193</v>
      </c>
      <c r="G9" s="115">
        <v>23379108</v>
      </c>
      <c r="H9" s="114">
        <f>_xlfn.COMPOUNDVALUE(428)</f>
        <v>204</v>
      </c>
      <c r="I9" s="116">
        <v>3934989</v>
      </c>
      <c r="J9" s="114">
        <v>365</v>
      </c>
      <c r="K9" s="116">
        <v>82432</v>
      </c>
      <c r="L9" s="114">
        <v>6466</v>
      </c>
      <c r="M9" s="116">
        <v>19526551</v>
      </c>
      <c r="N9" s="175">
        <v>6262</v>
      </c>
      <c r="O9" s="176">
        <v>173</v>
      </c>
      <c r="P9" s="176">
        <v>9</v>
      </c>
      <c r="Q9" s="177">
        <v>6444</v>
      </c>
      <c r="R9" s="14" t="s">
        <v>98</v>
      </c>
    </row>
    <row r="10" spans="1:18" ht="15.75" customHeight="1">
      <c r="A10" s="13" t="s">
        <v>21</v>
      </c>
      <c r="B10" s="114">
        <f>_xlfn.COMPOUNDVALUE(429)</f>
        <v>838</v>
      </c>
      <c r="C10" s="115">
        <v>3516910</v>
      </c>
      <c r="D10" s="114">
        <f>_xlfn.COMPOUNDVALUE(430)</f>
        <v>882</v>
      </c>
      <c r="E10" s="115">
        <v>346246</v>
      </c>
      <c r="F10" s="114">
        <f>_xlfn.COMPOUNDVALUE(431)</f>
        <v>1720</v>
      </c>
      <c r="G10" s="115">
        <v>3863156</v>
      </c>
      <c r="H10" s="114">
        <f>_xlfn.COMPOUNDVALUE(432)</f>
        <v>46</v>
      </c>
      <c r="I10" s="116">
        <v>44426</v>
      </c>
      <c r="J10" s="114">
        <v>98</v>
      </c>
      <c r="K10" s="116">
        <v>4974</v>
      </c>
      <c r="L10" s="114">
        <v>1803</v>
      </c>
      <c r="M10" s="116">
        <v>3823705</v>
      </c>
      <c r="N10" s="175">
        <v>2120</v>
      </c>
      <c r="O10" s="176">
        <v>32</v>
      </c>
      <c r="P10" s="176">
        <v>3</v>
      </c>
      <c r="Q10" s="177">
        <v>2155</v>
      </c>
      <c r="R10" s="14" t="s">
        <v>99</v>
      </c>
    </row>
    <row r="11" spans="1:18" ht="15.75" customHeight="1">
      <c r="A11" s="13" t="s">
        <v>22</v>
      </c>
      <c r="B11" s="114">
        <f>_xlfn.COMPOUNDVALUE(433)</f>
        <v>1616</v>
      </c>
      <c r="C11" s="115">
        <v>4728578</v>
      </c>
      <c r="D11" s="114">
        <f>_xlfn.COMPOUNDVALUE(434)</f>
        <v>1741</v>
      </c>
      <c r="E11" s="115">
        <v>680814</v>
      </c>
      <c r="F11" s="114">
        <f>_xlfn.COMPOUNDVALUE(435)</f>
        <v>3357</v>
      </c>
      <c r="G11" s="115">
        <v>5409392</v>
      </c>
      <c r="H11" s="114">
        <f>_xlfn.COMPOUNDVALUE(436)</f>
        <v>92</v>
      </c>
      <c r="I11" s="116">
        <v>325410</v>
      </c>
      <c r="J11" s="114">
        <v>270</v>
      </c>
      <c r="K11" s="116">
        <v>58115</v>
      </c>
      <c r="L11" s="114">
        <v>3519</v>
      </c>
      <c r="M11" s="116">
        <v>5142096</v>
      </c>
      <c r="N11" s="175">
        <v>3587</v>
      </c>
      <c r="O11" s="176">
        <v>73</v>
      </c>
      <c r="P11" s="176">
        <v>1</v>
      </c>
      <c r="Q11" s="177">
        <v>3661</v>
      </c>
      <c r="R11" s="14" t="s">
        <v>100</v>
      </c>
    </row>
    <row r="12" spans="1:18" ht="15.75" customHeight="1">
      <c r="A12" s="13" t="s">
        <v>23</v>
      </c>
      <c r="B12" s="114">
        <f>_xlfn.COMPOUNDVALUE(437)</f>
        <v>2647</v>
      </c>
      <c r="C12" s="115">
        <v>18519204</v>
      </c>
      <c r="D12" s="114">
        <f>_xlfn.COMPOUNDVALUE(438)</f>
        <v>2602</v>
      </c>
      <c r="E12" s="115">
        <v>1082286</v>
      </c>
      <c r="F12" s="114">
        <f>_xlfn.COMPOUNDVALUE(439)</f>
        <v>5249</v>
      </c>
      <c r="G12" s="115">
        <v>19601490</v>
      </c>
      <c r="H12" s="114">
        <f>_xlfn.COMPOUNDVALUE(440)</f>
        <v>237</v>
      </c>
      <c r="I12" s="116">
        <v>1890872</v>
      </c>
      <c r="J12" s="114">
        <v>226</v>
      </c>
      <c r="K12" s="116">
        <v>69255</v>
      </c>
      <c r="L12" s="114">
        <v>5557</v>
      </c>
      <c r="M12" s="116">
        <v>17779873</v>
      </c>
      <c r="N12" s="175">
        <v>5312</v>
      </c>
      <c r="O12" s="176">
        <v>121</v>
      </c>
      <c r="P12" s="176">
        <v>8</v>
      </c>
      <c r="Q12" s="177">
        <v>5441</v>
      </c>
      <c r="R12" s="14" t="s">
        <v>101</v>
      </c>
    </row>
    <row r="13" spans="1:18" ht="15.75" customHeight="1">
      <c r="A13" s="13" t="s">
        <v>24</v>
      </c>
      <c r="B13" s="114">
        <f>_xlfn.COMPOUNDVALUE(441)</f>
        <v>840</v>
      </c>
      <c r="C13" s="115">
        <v>3161605</v>
      </c>
      <c r="D13" s="114">
        <f>_xlfn.COMPOUNDVALUE(442)</f>
        <v>775</v>
      </c>
      <c r="E13" s="115">
        <v>317212</v>
      </c>
      <c r="F13" s="114">
        <f>_xlfn.COMPOUNDVALUE(443)</f>
        <v>1615</v>
      </c>
      <c r="G13" s="115">
        <v>3478818</v>
      </c>
      <c r="H13" s="114">
        <f>_xlfn.COMPOUNDVALUE(444)</f>
        <v>46</v>
      </c>
      <c r="I13" s="116">
        <v>204969</v>
      </c>
      <c r="J13" s="114">
        <v>72</v>
      </c>
      <c r="K13" s="116">
        <v>10283</v>
      </c>
      <c r="L13" s="114">
        <v>1688</v>
      </c>
      <c r="M13" s="116">
        <v>3284132</v>
      </c>
      <c r="N13" s="175">
        <v>1567</v>
      </c>
      <c r="O13" s="176">
        <v>29</v>
      </c>
      <c r="P13" s="176">
        <v>0</v>
      </c>
      <c r="Q13" s="177">
        <v>1596</v>
      </c>
      <c r="R13" s="14" t="s">
        <v>24</v>
      </c>
    </row>
    <row r="14" spans="1:18" ht="15.75" customHeight="1">
      <c r="A14" s="81" t="s">
        <v>25</v>
      </c>
      <c r="B14" s="129">
        <v>15061</v>
      </c>
      <c r="C14" s="130">
        <v>93551401</v>
      </c>
      <c r="D14" s="129">
        <v>13002</v>
      </c>
      <c r="E14" s="130">
        <v>5768319</v>
      </c>
      <c r="F14" s="129">
        <v>28063</v>
      </c>
      <c r="G14" s="130">
        <v>99319720</v>
      </c>
      <c r="H14" s="129">
        <v>969</v>
      </c>
      <c r="I14" s="131">
        <v>8107623</v>
      </c>
      <c r="J14" s="129">
        <v>1802</v>
      </c>
      <c r="K14" s="131">
        <v>377184</v>
      </c>
      <c r="L14" s="129">
        <v>29496</v>
      </c>
      <c r="M14" s="131">
        <v>91589282</v>
      </c>
      <c r="N14" s="178">
        <v>29167</v>
      </c>
      <c r="O14" s="179">
        <v>688</v>
      </c>
      <c r="P14" s="179">
        <v>42</v>
      </c>
      <c r="Q14" s="180">
        <v>29897</v>
      </c>
      <c r="R14" s="83" t="s">
        <v>95</v>
      </c>
    </row>
    <row r="15" spans="1:18" ht="15.75" customHeight="1">
      <c r="A15" s="85"/>
      <c r="B15" s="132"/>
      <c r="C15" s="133"/>
      <c r="D15" s="132"/>
      <c r="E15" s="133"/>
      <c r="F15" s="134"/>
      <c r="G15" s="133"/>
      <c r="H15" s="134"/>
      <c r="I15" s="133"/>
      <c r="J15" s="134"/>
      <c r="K15" s="133"/>
      <c r="L15" s="134"/>
      <c r="M15" s="133"/>
      <c r="N15" s="181"/>
      <c r="O15" s="182"/>
      <c r="P15" s="182"/>
      <c r="Q15" s="183"/>
      <c r="R15" s="86"/>
    </row>
    <row r="16" spans="1:18" ht="15.75" customHeight="1">
      <c r="A16" s="87" t="s">
        <v>26</v>
      </c>
      <c r="B16" s="135">
        <f>_xlfn.COMPOUNDVALUE(445)</f>
        <v>5380</v>
      </c>
      <c r="C16" s="136">
        <v>33442935</v>
      </c>
      <c r="D16" s="135">
        <f>_xlfn.COMPOUNDVALUE(446)</f>
        <v>3666</v>
      </c>
      <c r="E16" s="136">
        <v>1966649</v>
      </c>
      <c r="F16" s="135">
        <f>_xlfn.COMPOUNDVALUE(447)</f>
        <v>9046</v>
      </c>
      <c r="G16" s="136">
        <v>35409584</v>
      </c>
      <c r="H16" s="135">
        <f>_xlfn.COMPOUNDVALUE(448)</f>
        <v>368</v>
      </c>
      <c r="I16" s="137">
        <v>1579600</v>
      </c>
      <c r="J16" s="135">
        <v>628</v>
      </c>
      <c r="K16" s="137">
        <v>154964</v>
      </c>
      <c r="L16" s="135">
        <v>9576</v>
      </c>
      <c r="M16" s="137">
        <v>33984948</v>
      </c>
      <c r="N16" s="184">
        <v>9496</v>
      </c>
      <c r="O16" s="185">
        <v>275</v>
      </c>
      <c r="P16" s="185">
        <v>24</v>
      </c>
      <c r="Q16" s="186">
        <v>9795</v>
      </c>
      <c r="R16" s="88" t="s">
        <v>102</v>
      </c>
    </row>
    <row r="17" spans="1:18" ht="15.75" customHeight="1">
      <c r="A17" s="13" t="s">
        <v>27</v>
      </c>
      <c r="B17" s="114">
        <f>_xlfn.COMPOUNDVALUE(449)</f>
        <v>937</v>
      </c>
      <c r="C17" s="115">
        <v>3851225</v>
      </c>
      <c r="D17" s="114">
        <f>_xlfn.COMPOUNDVALUE(450)</f>
        <v>766</v>
      </c>
      <c r="E17" s="115">
        <v>341299</v>
      </c>
      <c r="F17" s="114">
        <f>_xlfn.COMPOUNDVALUE(451)</f>
        <v>1703</v>
      </c>
      <c r="G17" s="115">
        <v>4192523</v>
      </c>
      <c r="H17" s="114">
        <f>_xlfn.COMPOUNDVALUE(452)</f>
        <v>45</v>
      </c>
      <c r="I17" s="116">
        <v>214122</v>
      </c>
      <c r="J17" s="114">
        <v>102</v>
      </c>
      <c r="K17" s="116">
        <v>22589</v>
      </c>
      <c r="L17" s="114">
        <v>1770</v>
      </c>
      <c r="M17" s="116">
        <v>4000991</v>
      </c>
      <c r="N17" s="175">
        <v>1753</v>
      </c>
      <c r="O17" s="176">
        <v>36</v>
      </c>
      <c r="P17" s="176">
        <v>0</v>
      </c>
      <c r="Q17" s="177">
        <v>1789</v>
      </c>
      <c r="R17" s="14" t="s">
        <v>103</v>
      </c>
    </row>
    <row r="18" spans="1:18" ht="15.75" customHeight="1">
      <c r="A18" s="13" t="s">
        <v>28</v>
      </c>
      <c r="B18" s="114">
        <f>_xlfn.COMPOUNDVALUE(453)</f>
        <v>851</v>
      </c>
      <c r="C18" s="115">
        <v>3904574</v>
      </c>
      <c r="D18" s="114">
        <f>_xlfn.COMPOUNDVALUE(454)</f>
        <v>662</v>
      </c>
      <c r="E18" s="115">
        <v>273094</v>
      </c>
      <c r="F18" s="114">
        <f>_xlfn.COMPOUNDVALUE(455)</f>
        <v>1513</v>
      </c>
      <c r="G18" s="115">
        <v>4177668</v>
      </c>
      <c r="H18" s="114">
        <f>_xlfn.COMPOUNDVALUE(456)</f>
        <v>84</v>
      </c>
      <c r="I18" s="116">
        <v>1499041</v>
      </c>
      <c r="J18" s="114">
        <v>72</v>
      </c>
      <c r="K18" s="116">
        <v>15956</v>
      </c>
      <c r="L18" s="114">
        <v>1610</v>
      </c>
      <c r="M18" s="116">
        <v>2694582</v>
      </c>
      <c r="N18" s="175">
        <v>1498</v>
      </c>
      <c r="O18" s="176">
        <v>81</v>
      </c>
      <c r="P18" s="176">
        <v>2</v>
      </c>
      <c r="Q18" s="177">
        <v>1581</v>
      </c>
      <c r="R18" s="14" t="s">
        <v>104</v>
      </c>
    </row>
    <row r="19" spans="1:18" ht="15.75" customHeight="1">
      <c r="A19" s="13" t="s">
        <v>29</v>
      </c>
      <c r="B19" s="114">
        <f>_xlfn.COMPOUNDVALUE(457)</f>
        <v>1471</v>
      </c>
      <c r="C19" s="115">
        <v>7565927</v>
      </c>
      <c r="D19" s="114">
        <f>_xlfn.COMPOUNDVALUE(458)</f>
        <v>1034</v>
      </c>
      <c r="E19" s="115">
        <v>532955</v>
      </c>
      <c r="F19" s="114">
        <f>_xlfn.COMPOUNDVALUE(459)</f>
        <v>2505</v>
      </c>
      <c r="G19" s="115">
        <v>8098882</v>
      </c>
      <c r="H19" s="114">
        <f>_xlfn.COMPOUNDVALUE(460)</f>
        <v>138</v>
      </c>
      <c r="I19" s="116">
        <v>236256</v>
      </c>
      <c r="J19" s="114">
        <v>151</v>
      </c>
      <c r="K19" s="116">
        <v>10858</v>
      </c>
      <c r="L19" s="114">
        <v>2689</v>
      </c>
      <c r="M19" s="116">
        <v>7873484</v>
      </c>
      <c r="N19" s="175">
        <v>2626</v>
      </c>
      <c r="O19" s="176">
        <v>62</v>
      </c>
      <c r="P19" s="176">
        <v>2</v>
      </c>
      <c r="Q19" s="177">
        <v>2690</v>
      </c>
      <c r="R19" s="14" t="s">
        <v>105</v>
      </c>
    </row>
    <row r="20" spans="1:18" ht="15.75" customHeight="1">
      <c r="A20" s="13" t="s">
        <v>30</v>
      </c>
      <c r="B20" s="114">
        <f>_xlfn.COMPOUNDVALUE(461)</f>
        <v>2083</v>
      </c>
      <c r="C20" s="115">
        <v>13745168</v>
      </c>
      <c r="D20" s="114">
        <f>_xlfn.COMPOUNDVALUE(462)</f>
        <v>1290</v>
      </c>
      <c r="E20" s="115">
        <v>637218</v>
      </c>
      <c r="F20" s="114">
        <f>_xlfn.COMPOUNDVALUE(463)</f>
        <v>3373</v>
      </c>
      <c r="G20" s="115">
        <v>14382386</v>
      </c>
      <c r="H20" s="114">
        <f>_xlfn.COMPOUNDVALUE(464)</f>
        <v>178</v>
      </c>
      <c r="I20" s="116">
        <v>507709</v>
      </c>
      <c r="J20" s="114">
        <v>191</v>
      </c>
      <c r="K20" s="116">
        <v>118667</v>
      </c>
      <c r="L20" s="114">
        <v>3613</v>
      </c>
      <c r="M20" s="116">
        <v>13993344</v>
      </c>
      <c r="N20" s="175">
        <v>3500</v>
      </c>
      <c r="O20" s="176">
        <v>116</v>
      </c>
      <c r="P20" s="176">
        <v>7</v>
      </c>
      <c r="Q20" s="177">
        <v>3623</v>
      </c>
      <c r="R20" s="14" t="s">
        <v>106</v>
      </c>
    </row>
    <row r="21" spans="1:18" ht="15.75" customHeight="1">
      <c r="A21" s="13" t="s">
        <v>31</v>
      </c>
      <c r="B21" s="114">
        <f>_xlfn.COMPOUNDVALUE(465)</f>
        <v>819</v>
      </c>
      <c r="C21" s="115">
        <v>2768451</v>
      </c>
      <c r="D21" s="114">
        <f>_xlfn.COMPOUNDVALUE(466)</f>
        <v>510</v>
      </c>
      <c r="E21" s="115">
        <v>226383</v>
      </c>
      <c r="F21" s="114">
        <f>_xlfn.COMPOUNDVALUE(467)</f>
        <v>1329</v>
      </c>
      <c r="G21" s="115">
        <v>2994835</v>
      </c>
      <c r="H21" s="114">
        <f>_xlfn.COMPOUNDVALUE(468)</f>
        <v>70</v>
      </c>
      <c r="I21" s="116">
        <v>241564</v>
      </c>
      <c r="J21" s="114">
        <v>30</v>
      </c>
      <c r="K21" s="116">
        <v>-9648</v>
      </c>
      <c r="L21" s="114">
        <v>1403</v>
      </c>
      <c r="M21" s="116">
        <v>2743623</v>
      </c>
      <c r="N21" s="175">
        <v>1318</v>
      </c>
      <c r="O21" s="176">
        <v>42</v>
      </c>
      <c r="P21" s="176">
        <v>3</v>
      </c>
      <c r="Q21" s="177">
        <v>1363</v>
      </c>
      <c r="R21" s="14" t="s">
        <v>107</v>
      </c>
    </row>
    <row r="22" spans="1:18" ht="15.75" customHeight="1">
      <c r="A22" s="13" t="s">
        <v>32</v>
      </c>
      <c r="B22" s="114">
        <f>_xlfn.COMPOUNDVALUE(469)</f>
        <v>1325</v>
      </c>
      <c r="C22" s="115">
        <v>6730012</v>
      </c>
      <c r="D22" s="114">
        <f>_xlfn.COMPOUNDVALUE(470)</f>
        <v>925</v>
      </c>
      <c r="E22" s="115">
        <v>451999</v>
      </c>
      <c r="F22" s="114">
        <f>_xlfn.COMPOUNDVALUE(471)</f>
        <v>2250</v>
      </c>
      <c r="G22" s="115">
        <v>7182011</v>
      </c>
      <c r="H22" s="114">
        <f>_xlfn.COMPOUNDVALUE(472)</f>
        <v>105</v>
      </c>
      <c r="I22" s="116">
        <v>278229</v>
      </c>
      <c r="J22" s="114">
        <v>180</v>
      </c>
      <c r="K22" s="116">
        <v>52332</v>
      </c>
      <c r="L22" s="114">
        <v>2402</v>
      </c>
      <c r="M22" s="116">
        <v>6956114</v>
      </c>
      <c r="N22" s="175">
        <v>2339</v>
      </c>
      <c r="O22" s="176">
        <v>51</v>
      </c>
      <c r="P22" s="176">
        <v>2</v>
      </c>
      <c r="Q22" s="177">
        <v>2392</v>
      </c>
      <c r="R22" s="14" t="s">
        <v>108</v>
      </c>
    </row>
    <row r="23" spans="1:18" ht="15.75" customHeight="1">
      <c r="A23" s="13" t="s">
        <v>33</v>
      </c>
      <c r="B23" s="114">
        <f>_xlfn.COMPOUNDVALUE(473)</f>
        <v>851</v>
      </c>
      <c r="C23" s="115">
        <v>3858531</v>
      </c>
      <c r="D23" s="114">
        <f>_xlfn.COMPOUNDVALUE(474)</f>
        <v>582</v>
      </c>
      <c r="E23" s="115">
        <v>273221</v>
      </c>
      <c r="F23" s="114">
        <f>_xlfn.COMPOUNDVALUE(475)</f>
        <v>1433</v>
      </c>
      <c r="G23" s="115">
        <v>4131752</v>
      </c>
      <c r="H23" s="114">
        <f>_xlfn.COMPOUNDVALUE(476)</f>
        <v>70</v>
      </c>
      <c r="I23" s="116">
        <v>171904</v>
      </c>
      <c r="J23" s="114">
        <v>120</v>
      </c>
      <c r="K23" s="116">
        <v>12118</v>
      </c>
      <c r="L23" s="114">
        <v>1521</v>
      </c>
      <c r="M23" s="116">
        <v>3971966</v>
      </c>
      <c r="N23" s="175">
        <v>1527</v>
      </c>
      <c r="O23" s="176">
        <v>62</v>
      </c>
      <c r="P23" s="176">
        <v>4</v>
      </c>
      <c r="Q23" s="177">
        <v>1593</v>
      </c>
      <c r="R23" s="14" t="s">
        <v>109</v>
      </c>
    </row>
    <row r="24" spans="1:18" ht="15.75" customHeight="1">
      <c r="A24" s="13" t="s">
        <v>34</v>
      </c>
      <c r="B24" s="114">
        <f>_xlfn.COMPOUNDVALUE(477)</f>
        <v>728</v>
      </c>
      <c r="C24" s="115">
        <v>3070857</v>
      </c>
      <c r="D24" s="114">
        <f>_xlfn.COMPOUNDVALUE(478)</f>
        <v>539</v>
      </c>
      <c r="E24" s="115">
        <v>257047</v>
      </c>
      <c r="F24" s="114">
        <f>_xlfn.COMPOUNDVALUE(479)</f>
        <v>1267</v>
      </c>
      <c r="G24" s="115">
        <v>3327905</v>
      </c>
      <c r="H24" s="114">
        <f>_xlfn.COMPOUNDVALUE(480)</f>
        <v>74</v>
      </c>
      <c r="I24" s="116">
        <v>2358299</v>
      </c>
      <c r="J24" s="114">
        <v>57</v>
      </c>
      <c r="K24" s="116">
        <v>13410</v>
      </c>
      <c r="L24" s="114">
        <v>1364</v>
      </c>
      <c r="M24" s="116">
        <v>983015</v>
      </c>
      <c r="N24" s="175">
        <v>1428</v>
      </c>
      <c r="O24" s="176">
        <v>63</v>
      </c>
      <c r="P24" s="176">
        <v>1</v>
      </c>
      <c r="Q24" s="177">
        <v>1492</v>
      </c>
      <c r="R24" s="14" t="s">
        <v>110</v>
      </c>
    </row>
    <row r="25" spans="1:18" ht="15.75" customHeight="1">
      <c r="A25" s="84" t="s">
        <v>90</v>
      </c>
      <c r="B25" s="129">
        <v>14445</v>
      </c>
      <c r="C25" s="130">
        <v>78937680</v>
      </c>
      <c r="D25" s="129">
        <v>9974</v>
      </c>
      <c r="E25" s="130">
        <v>4959866</v>
      </c>
      <c r="F25" s="129">
        <v>24419</v>
      </c>
      <c r="G25" s="130">
        <v>83897546</v>
      </c>
      <c r="H25" s="129">
        <v>1132</v>
      </c>
      <c r="I25" s="131">
        <v>7086725</v>
      </c>
      <c r="J25" s="129">
        <v>1531</v>
      </c>
      <c r="K25" s="131">
        <v>391246</v>
      </c>
      <c r="L25" s="129">
        <v>25948</v>
      </c>
      <c r="M25" s="131">
        <v>77202067</v>
      </c>
      <c r="N25" s="178">
        <v>25485</v>
      </c>
      <c r="O25" s="179">
        <v>788</v>
      </c>
      <c r="P25" s="179">
        <v>45</v>
      </c>
      <c r="Q25" s="180">
        <v>26318</v>
      </c>
      <c r="R25" s="83" t="s">
        <v>111</v>
      </c>
    </row>
    <row r="26" spans="1:18" ht="15.75" customHeight="1">
      <c r="A26" s="85"/>
      <c r="B26" s="132"/>
      <c r="C26" s="133"/>
      <c r="D26" s="132"/>
      <c r="E26" s="133"/>
      <c r="F26" s="134"/>
      <c r="G26" s="133"/>
      <c r="H26" s="134"/>
      <c r="I26" s="133"/>
      <c r="J26" s="134"/>
      <c r="K26" s="133"/>
      <c r="L26" s="134"/>
      <c r="M26" s="133"/>
      <c r="N26" s="181"/>
      <c r="O26" s="182"/>
      <c r="P26" s="182"/>
      <c r="Q26" s="183"/>
      <c r="R26" s="86"/>
    </row>
    <row r="27" spans="1:18" ht="15.75" customHeight="1">
      <c r="A27" s="87" t="s">
        <v>36</v>
      </c>
      <c r="B27" s="135">
        <f>_xlfn.COMPOUNDVALUE(481)</f>
        <v>7033</v>
      </c>
      <c r="C27" s="136">
        <v>70259484</v>
      </c>
      <c r="D27" s="135">
        <f>_xlfn.COMPOUNDVALUE(482)</f>
        <v>4260</v>
      </c>
      <c r="E27" s="136">
        <v>2480037</v>
      </c>
      <c r="F27" s="135">
        <f>_xlfn.COMPOUNDVALUE(483)</f>
        <v>11293</v>
      </c>
      <c r="G27" s="136">
        <v>72739521</v>
      </c>
      <c r="H27" s="135">
        <f>_xlfn.COMPOUNDVALUE(484)</f>
        <v>541</v>
      </c>
      <c r="I27" s="137">
        <v>2384590</v>
      </c>
      <c r="J27" s="135">
        <v>971</v>
      </c>
      <c r="K27" s="137">
        <v>273467</v>
      </c>
      <c r="L27" s="135">
        <v>12087</v>
      </c>
      <c r="M27" s="137">
        <v>70628398</v>
      </c>
      <c r="N27" s="184">
        <v>12342</v>
      </c>
      <c r="O27" s="185">
        <v>476</v>
      </c>
      <c r="P27" s="185">
        <v>52</v>
      </c>
      <c r="Q27" s="186">
        <v>12870</v>
      </c>
      <c r="R27" s="88" t="s">
        <v>112</v>
      </c>
    </row>
    <row r="28" spans="1:18" ht="15.75" customHeight="1">
      <c r="A28" s="13" t="s">
        <v>37</v>
      </c>
      <c r="B28" s="114">
        <f>_xlfn.COMPOUNDVALUE(485)</f>
        <v>5910</v>
      </c>
      <c r="C28" s="115">
        <v>64167649</v>
      </c>
      <c r="D28" s="114">
        <f>_xlfn.COMPOUNDVALUE(486)</f>
        <v>2798</v>
      </c>
      <c r="E28" s="115">
        <v>1777080</v>
      </c>
      <c r="F28" s="114">
        <f>_xlfn.COMPOUNDVALUE(487)</f>
        <v>8708</v>
      </c>
      <c r="G28" s="115">
        <v>65944729</v>
      </c>
      <c r="H28" s="114">
        <f>_xlfn.COMPOUNDVALUE(488)</f>
        <v>374</v>
      </c>
      <c r="I28" s="116">
        <v>1896798</v>
      </c>
      <c r="J28" s="114">
        <v>653</v>
      </c>
      <c r="K28" s="116">
        <v>221999</v>
      </c>
      <c r="L28" s="114">
        <v>9236</v>
      </c>
      <c r="M28" s="116">
        <v>64269930</v>
      </c>
      <c r="N28" s="175">
        <v>9434</v>
      </c>
      <c r="O28" s="176">
        <v>338</v>
      </c>
      <c r="P28" s="176">
        <v>60</v>
      </c>
      <c r="Q28" s="177">
        <v>9832</v>
      </c>
      <c r="R28" s="14" t="s">
        <v>113</v>
      </c>
    </row>
    <row r="29" spans="1:18" ht="15.75" customHeight="1">
      <c r="A29" s="13" t="s">
        <v>38</v>
      </c>
      <c r="B29" s="114">
        <f>_xlfn.COMPOUNDVALUE(489)</f>
        <v>3515</v>
      </c>
      <c r="C29" s="115">
        <v>20068938</v>
      </c>
      <c r="D29" s="114">
        <f>_xlfn.COMPOUNDVALUE(490)</f>
        <v>2636</v>
      </c>
      <c r="E29" s="115">
        <v>1341208</v>
      </c>
      <c r="F29" s="114">
        <f>_xlfn.COMPOUNDVALUE(491)</f>
        <v>6151</v>
      </c>
      <c r="G29" s="115">
        <v>21410146</v>
      </c>
      <c r="H29" s="114">
        <f>_xlfn.COMPOUNDVALUE(492)</f>
        <v>248</v>
      </c>
      <c r="I29" s="116">
        <v>782994</v>
      </c>
      <c r="J29" s="114">
        <v>526</v>
      </c>
      <c r="K29" s="116">
        <v>85742</v>
      </c>
      <c r="L29" s="114">
        <v>6518</v>
      </c>
      <c r="M29" s="116">
        <v>20712895</v>
      </c>
      <c r="N29" s="175">
        <v>6669</v>
      </c>
      <c r="O29" s="176">
        <v>216</v>
      </c>
      <c r="P29" s="176">
        <v>16</v>
      </c>
      <c r="Q29" s="177">
        <v>6901</v>
      </c>
      <c r="R29" s="14" t="s">
        <v>114</v>
      </c>
    </row>
    <row r="30" spans="1:18" ht="15.75" customHeight="1">
      <c r="A30" s="13" t="s">
        <v>39</v>
      </c>
      <c r="B30" s="114">
        <f>_xlfn.COMPOUNDVALUE(493)</f>
        <v>2876</v>
      </c>
      <c r="C30" s="115">
        <v>12934706</v>
      </c>
      <c r="D30" s="114">
        <f>_xlfn.COMPOUNDVALUE(494)</f>
        <v>2208</v>
      </c>
      <c r="E30" s="115">
        <v>1050567</v>
      </c>
      <c r="F30" s="114">
        <f>_xlfn.COMPOUNDVALUE(495)</f>
        <v>5084</v>
      </c>
      <c r="G30" s="115">
        <v>13985273</v>
      </c>
      <c r="H30" s="114">
        <f>_xlfn.COMPOUNDVALUE(496)</f>
        <v>270</v>
      </c>
      <c r="I30" s="116">
        <v>1273119</v>
      </c>
      <c r="J30" s="114">
        <v>315</v>
      </c>
      <c r="K30" s="116">
        <v>43406</v>
      </c>
      <c r="L30" s="114">
        <v>5471</v>
      </c>
      <c r="M30" s="116">
        <v>12755560</v>
      </c>
      <c r="N30" s="175">
        <v>5189</v>
      </c>
      <c r="O30" s="176">
        <v>164</v>
      </c>
      <c r="P30" s="176">
        <v>10</v>
      </c>
      <c r="Q30" s="177">
        <v>5363</v>
      </c>
      <c r="R30" s="14" t="s">
        <v>115</v>
      </c>
    </row>
    <row r="31" spans="1:18" ht="15.75" customHeight="1">
      <c r="A31" s="13" t="s">
        <v>40</v>
      </c>
      <c r="B31" s="114">
        <f>_xlfn.COMPOUNDVALUE(497)</f>
        <v>1962</v>
      </c>
      <c r="C31" s="115">
        <v>8041866</v>
      </c>
      <c r="D31" s="114">
        <f>_xlfn.COMPOUNDVALUE(498)</f>
        <v>1337</v>
      </c>
      <c r="E31" s="115">
        <v>633104</v>
      </c>
      <c r="F31" s="114">
        <f>_xlfn.COMPOUNDVALUE(499)</f>
        <v>3299</v>
      </c>
      <c r="G31" s="115">
        <v>8674969</v>
      </c>
      <c r="H31" s="114">
        <f>_xlfn.COMPOUNDVALUE(500)</f>
        <v>146</v>
      </c>
      <c r="I31" s="116">
        <v>563281</v>
      </c>
      <c r="J31" s="114">
        <v>228</v>
      </c>
      <c r="K31" s="116">
        <v>86461</v>
      </c>
      <c r="L31" s="114">
        <v>3505</v>
      </c>
      <c r="M31" s="116">
        <v>8198149</v>
      </c>
      <c r="N31" s="175">
        <v>3518</v>
      </c>
      <c r="O31" s="176">
        <v>92</v>
      </c>
      <c r="P31" s="176">
        <v>2</v>
      </c>
      <c r="Q31" s="177">
        <v>3612</v>
      </c>
      <c r="R31" s="14" t="s">
        <v>116</v>
      </c>
    </row>
    <row r="32" spans="1:18" ht="15.75" customHeight="1">
      <c r="A32" s="13" t="s">
        <v>41</v>
      </c>
      <c r="B32" s="114">
        <f>_xlfn.COMPOUNDVALUE(501)</f>
        <v>2343</v>
      </c>
      <c r="C32" s="115">
        <v>8918773</v>
      </c>
      <c r="D32" s="114">
        <f>_xlfn.COMPOUNDVALUE(502)</f>
        <v>1905</v>
      </c>
      <c r="E32" s="115">
        <v>872806</v>
      </c>
      <c r="F32" s="114">
        <f>_xlfn.COMPOUNDVALUE(503)</f>
        <v>4248</v>
      </c>
      <c r="G32" s="115">
        <v>9791579</v>
      </c>
      <c r="H32" s="114">
        <f>_xlfn.COMPOUNDVALUE(504)</f>
        <v>222</v>
      </c>
      <c r="I32" s="116">
        <v>488603</v>
      </c>
      <c r="J32" s="114">
        <v>321</v>
      </c>
      <c r="K32" s="116">
        <v>46258</v>
      </c>
      <c r="L32" s="114">
        <v>4545</v>
      </c>
      <c r="M32" s="116">
        <v>9349234</v>
      </c>
      <c r="N32" s="175">
        <v>4482</v>
      </c>
      <c r="O32" s="176">
        <v>137</v>
      </c>
      <c r="P32" s="176">
        <v>10</v>
      </c>
      <c r="Q32" s="177">
        <v>4629</v>
      </c>
      <c r="R32" s="14" t="s">
        <v>117</v>
      </c>
    </row>
    <row r="33" spans="1:18" ht="15.75" customHeight="1">
      <c r="A33" s="13" t="s">
        <v>42</v>
      </c>
      <c r="B33" s="114">
        <f>_xlfn.COMPOUNDVALUE(505)</f>
        <v>1185</v>
      </c>
      <c r="C33" s="115">
        <v>4371391</v>
      </c>
      <c r="D33" s="114">
        <f>_xlfn.COMPOUNDVALUE(506)</f>
        <v>798</v>
      </c>
      <c r="E33" s="115">
        <v>328106</v>
      </c>
      <c r="F33" s="114">
        <f>_xlfn.COMPOUNDVALUE(507)</f>
        <v>1983</v>
      </c>
      <c r="G33" s="115">
        <v>4699497</v>
      </c>
      <c r="H33" s="114">
        <f>_xlfn.COMPOUNDVALUE(508)</f>
        <v>101</v>
      </c>
      <c r="I33" s="116">
        <v>842209</v>
      </c>
      <c r="J33" s="114">
        <v>124</v>
      </c>
      <c r="K33" s="116">
        <v>49158</v>
      </c>
      <c r="L33" s="114">
        <v>2131</v>
      </c>
      <c r="M33" s="116">
        <v>3906446</v>
      </c>
      <c r="N33" s="175">
        <v>2033</v>
      </c>
      <c r="O33" s="176">
        <v>74</v>
      </c>
      <c r="P33" s="176">
        <v>8</v>
      </c>
      <c r="Q33" s="177">
        <v>2115</v>
      </c>
      <c r="R33" s="14" t="s">
        <v>118</v>
      </c>
    </row>
    <row r="34" spans="1:18" ht="15.75" customHeight="1">
      <c r="A34" s="13" t="s">
        <v>43</v>
      </c>
      <c r="B34" s="114">
        <f>_xlfn.COMPOUNDVALUE(509)</f>
        <v>1733</v>
      </c>
      <c r="C34" s="115">
        <v>6299105</v>
      </c>
      <c r="D34" s="114">
        <f>_xlfn.COMPOUNDVALUE(510)</f>
        <v>1269</v>
      </c>
      <c r="E34" s="115">
        <v>607573</v>
      </c>
      <c r="F34" s="114">
        <f>_xlfn.COMPOUNDVALUE(511)</f>
        <v>3002</v>
      </c>
      <c r="G34" s="115">
        <v>6906678</v>
      </c>
      <c r="H34" s="114">
        <f>_xlfn.COMPOUNDVALUE(512)</f>
        <v>175</v>
      </c>
      <c r="I34" s="116">
        <v>508203</v>
      </c>
      <c r="J34" s="114">
        <v>180</v>
      </c>
      <c r="K34" s="116">
        <v>33304</v>
      </c>
      <c r="L34" s="114">
        <v>3251</v>
      </c>
      <c r="M34" s="116">
        <v>6431779</v>
      </c>
      <c r="N34" s="175">
        <v>3179</v>
      </c>
      <c r="O34" s="176">
        <v>95</v>
      </c>
      <c r="P34" s="176">
        <v>5</v>
      </c>
      <c r="Q34" s="177">
        <v>3279</v>
      </c>
      <c r="R34" s="14" t="s">
        <v>119</v>
      </c>
    </row>
    <row r="35" spans="1:18" ht="15.75" customHeight="1">
      <c r="A35" s="13" t="s">
        <v>44</v>
      </c>
      <c r="B35" s="114">
        <f>_xlfn.COMPOUNDVALUE(513)</f>
        <v>896</v>
      </c>
      <c r="C35" s="115">
        <v>3662074</v>
      </c>
      <c r="D35" s="114">
        <f>_xlfn.COMPOUNDVALUE(514)</f>
        <v>623</v>
      </c>
      <c r="E35" s="115">
        <v>285101</v>
      </c>
      <c r="F35" s="114">
        <f>_xlfn.COMPOUNDVALUE(515)</f>
        <v>1519</v>
      </c>
      <c r="G35" s="115">
        <v>3947175</v>
      </c>
      <c r="H35" s="114">
        <f>_xlfn.COMPOUNDVALUE(516)</f>
        <v>96</v>
      </c>
      <c r="I35" s="116">
        <v>476525</v>
      </c>
      <c r="J35" s="114">
        <v>125</v>
      </c>
      <c r="K35" s="116">
        <v>-7273</v>
      </c>
      <c r="L35" s="114">
        <v>1633</v>
      </c>
      <c r="M35" s="116">
        <v>3463377</v>
      </c>
      <c r="N35" s="175">
        <v>1573</v>
      </c>
      <c r="O35" s="176">
        <v>63</v>
      </c>
      <c r="P35" s="176">
        <v>1</v>
      </c>
      <c r="Q35" s="177">
        <v>1637</v>
      </c>
      <c r="R35" s="14" t="s">
        <v>120</v>
      </c>
    </row>
    <row r="36" spans="1:18" ht="15.75" customHeight="1">
      <c r="A36" s="13" t="s">
        <v>45</v>
      </c>
      <c r="B36" s="114">
        <f>_xlfn.COMPOUNDVALUE(517)</f>
        <v>1153</v>
      </c>
      <c r="C36" s="115">
        <v>4592135</v>
      </c>
      <c r="D36" s="114">
        <f>_xlfn.COMPOUNDVALUE(518)</f>
        <v>902</v>
      </c>
      <c r="E36" s="115">
        <v>412545</v>
      </c>
      <c r="F36" s="114">
        <f>_xlfn.COMPOUNDVALUE(519)</f>
        <v>2055</v>
      </c>
      <c r="G36" s="115">
        <v>5004679</v>
      </c>
      <c r="H36" s="114">
        <f>_xlfn.COMPOUNDVALUE(520)</f>
        <v>98</v>
      </c>
      <c r="I36" s="116">
        <v>360350</v>
      </c>
      <c r="J36" s="114">
        <v>177</v>
      </c>
      <c r="K36" s="116">
        <v>51028</v>
      </c>
      <c r="L36" s="114">
        <v>2197</v>
      </c>
      <c r="M36" s="116">
        <v>4695357</v>
      </c>
      <c r="N36" s="175">
        <v>2103</v>
      </c>
      <c r="O36" s="176">
        <v>60</v>
      </c>
      <c r="P36" s="176">
        <v>3</v>
      </c>
      <c r="Q36" s="177">
        <v>2166</v>
      </c>
      <c r="R36" s="14" t="s">
        <v>121</v>
      </c>
    </row>
    <row r="37" spans="1:18" ht="15.75" customHeight="1">
      <c r="A37" s="84" t="s">
        <v>46</v>
      </c>
      <c r="B37" s="129">
        <v>28606</v>
      </c>
      <c r="C37" s="130">
        <v>203316120</v>
      </c>
      <c r="D37" s="129">
        <v>18736</v>
      </c>
      <c r="E37" s="130">
        <v>9788127</v>
      </c>
      <c r="F37" s="129">
        <v>47342</v>
      </c>
      <c r="G37" s="130">
        <v>213104246</v>
      </c>
      <c r="H37" s="129">
        <v>2271</v>
      </c>
      <c r="I37" s="131">
        <v>9576672</v>
      </c>
      <c r="J37" s="129">
        <v>3620</v>
      </c>
      <c r="K37" s="131">
        <v>883551</v>
      </c>
      <c r="L37" s="129">
        <v>50574</v>
      </c>
      <c r="M37" s="131">
        <v>204411126</v>
      </c>
      <c r="N37" s="178">
        <v>50522</v>
      </c>
      <c r="O37" s="179">
        <v>1715</v>
      </c>
      <c r="P37" s="179">
        <v>167</v>
      </c>
      <c r="Q37" s="180">
        <v>52404</v>
      </c>
      <c r="R37" s="83" t="s">
        <v>122</v>
      </c>
    </row>
    <row r="38" spans="1:18" ht="15.75" customHeight="1">
      <c r="A38" s="89"/>
      <c r="B38" s="138"/>
      <c r="C38" s="139"/>
      <c r="D38" s="138"/>
      <c r="E38" s="139"/>
      <c r="F38" s="140"/>
      <c r="G38" s="139"/>
      <c r="H38" s="140"/>
      <c r="I38" s="139"/>
      <c r="J38" s="140"/>
      <c r="K38" s="139"/>
      <c r="L38" s="140"/>
      <c r="M38" s="139"/>
      <c r="N38" s="187"/>
      <c r="O38" s="188"/>
      <c r="P38" s="188"/>
      <c r="Q38" s="189"/>
      <c r="R38" s="90"/>
    </row>
    <row r="39" spans="1:18" ht="15.75" customHeight="1">
      <c r="A39" s="11" t="s">
        <v>47</v>
      </c>
      <c r="B39" s="111">
        <f>_xlfn.COMPOUNDVALUE(521)</f>
        <v>2827</v>
      </c>
      <c r="C39" s="112">
        <v>17977172</v>
      </c>
      <c r="D39" s="111">
        <f>_xlfn.COMPOUNDVALUE(522)</f>
        <v>1846</v>
      </c>
      <c r="E39" s="112">
        <v>1028180</v>
      </c>
      <c r="F39" s="111">
        <f>_xlfn.COMPOUNDVALUE(523)</f>
        <v>4673</v>
      </c>
      <c r="G39" s="112">
        <v>19005352</v>
      </c>
      <c r="H39" s="111">
        <f>_xlfn.COMPOUNDVALUE(524)</f>
        <v>166</v>
      </c>
      <c r="I39" s="113">
        <v>1841449</v>
      </c>
      <c r="J39" s="111">
        <v>341</v>
      </c>
      <c r="K39" s="113">
        <v>-2012</v>
      </c>
      <c r="L39" s="111">
        <v>4899</v>
      </c>
      <c r="M39" s="113">
        <v>17161891</v>
      </c>
      <c r="N39" s="175">
        <v>4850</v>
      </c>
      <c r="O39" s="176">
        <v>134</v>
      </c>
      <c r="P39" s="176">
        <v>21</v>
      </c>
      <c r="Q39" s="177">
        <v>5005</v>
      </c>
      <c r="R39" s="12" t="s">
        <v>123</v>
      </c>
    </row>
    <row r="40" spans="1:18" ht="15.75" customHeight="1">
      <c r="A40" s="13" t="s">
        <v>48</v>
      </c>
      <c r="B40" s="114">
        <f>_xlfn.COMPOUNDVALUE(525)</f>
        <v>1518</v>
      </c>
      <c r="C40" s="115">
        <v>7189336</v>
      </c>
      <c r="D40" s="114">
        <f>_xlfn.COMPOUNDVALUE(526)</f>
        <v>1628</v>
      </c>
      <c r="E40" s="115">
        <v>682834</v>
      </c>
      <c r="F40" s="114">
        <f>_xlfn.COMPOUNDVALUE(527)</f>
        <v>3146</v>
      </c>
      <c r="G40" s="115">
        <v>7872170</v>
      </c>
      <c r="H40" s="114">
        <f>_xlfn.COMPOUNDVALUE(528)</f>
        <v>90</v>
      </c>
      <c r="I40" s="116">
        <v>371596</v>
      </c>
      <c r="J40" s="114">
        <v>225</v>
      </c>
      <c r="K40" s="116">
        <v>26580</v>
      </c>
      <c r="L40" s="114">
        <v>3292</v>
      </c>
      <c r="M40" s="116">
        <v>7527154</v>
      </c>
      <c r="N40" s="175">
        <v>3220</v>
      </c>
      <c r="O40" s="176">
        <v>74</v>
      </c>
      <c r="P40" s="176">
        <v>6</v>
      </c>
      <c r="Q40" s="177">
        <v>3300</v>
      </c>
      <c r="R40" s="14" t="s">
        <v>124</v>
      </c>
    </row>
    <row r="41" spans="1:18" ht="15.75" customHeight="1">
      <c r="A41" s="13" t="s">
        <v>49</v>
      </c>
      <c r="B41" s="114">
        <f>_xlfn.COMPOUNDVALUE(529)</f>
        <v>929</v>
      </c>
      <c r="C41" s="115">
        <v>3218306</v>
      </c>
      <c r="D41" s="114">
        <f>_xlfn.COMPOUNDVALUE(530)</f>
        <v>927</v>
      </c>
      <c r="E41" s="115">
        <v>377505</v>
      </c>
      <c r="F41" s="114">
        <f>_xlfn.COMPOUNDVALUE(531)</f>
        <v>1856</v>
      </c>
      <c r="G41" s="115">
        <v>3595811</v>
      </c>
      <c r="H41" s="114">
        <f>_xlfn.COMPOUNDVALUE(532)</f>
        <v>55</v>
      </c>
      <c r="I41" s="116">
        <v>344912</v>
      </c>
      <c r="J41" s="114">
        <v>57</v>
      </c>
      <c r="K41" s="116">
        <v>20478</v>
      </c>
      <c r="L41" s="114">
        <v>1925</v>
      </c>
      <c r="M41" s="116">
        <v>3271377</v>
      </c>
      <c r="N41" s="175">
        <v>1892</v>
      </c>
      <c r="O41" s="176">
        <v>75</v>
      </c>
      <c r="P41" s="176">
        <v>4</v>
      </c>
      <c r="Q41" s="177">
        <v>1971</v>
      </c>
      <c r="R41" s="14" t="s">
        <v>125</v>
      </c>
    </row>
    <row r="42" spans="1:18" ht="15.75" customHeight="1">
      <c r="A42" s="13" t="s">
        <v>50</v>
      </c>
      <c r="B42" s="114">
        <f>_xlfn.COMPOUNDVALUE(533)</f>
        <v>984</v>
      </c>
      <c r="C42" s="115">
        <v>3644887</v>
      </c>
      <c r="D42" s="114">
        <f>_xlfn.COMPOUNDVALUE(534)</f>
        <v>856</v>
      </c>
      <c r="E42" s="115">
        <v>384318</v>
      </c>
      <c r="F42" s="114">
        <f>_xlfn.COMPOUNDVALUE(535)</f>
        <v>1840</v>
      </c>
      <c r="G42" s="115">
        <v>4029204</v>
      </c>
      <c r="H42" s="114">
        <f>_xlfn.COMPOUNDVALUE(536)</f>
        <v>92</v>
      </c>
      <c r="I42" s="116">
        <v>478578</v>
      </c>
      <c r="J42" s="114">
        <v>94</v>
      </c>
      <c r="K42" s="116">
        <v>27655</v>
      </c>
      <c r="L42" s="114">
        <v>1955</v>
      </c>
      <c r="M42" s="116">
        <v>3578281</v>
      </c>
      <c r="N42" s="175">
        <v>1990</v>
      </c>
      <c r="O42" s="176">
        <v>60</v>
      </c>
      <c r="P42" s="176">
        <v>3</v>
      </c>
      <c r="Q42" s="177">
        <v>2053</v>
      </c>
      <c r="R42" s="14" t="s">
        <v>126</v>
      </c>
    </row>
    <row r="43" spans="1:18" ht="15.75" customHeight="1">
      <c r="A43" s="13" t="s">
        <v>51</v>
      </c>
      <c r="B43" s="114">
        <f>_xlfn.COMPOUNDVALUE(537)</f>
        <v>1532</v>
      </c>
      <c r="C43" s="115">
        <v>7467715</v>
      </c>
      <c r="D43" s="114">
        <f>_xlfn.COMPOUNDVALUE(538)</f>
        <v>1141</v>
      </c>
      <c r="E43" s="115">
        <v>528970</v>
      </c>
      <c r="F43" s="114">
        <f>_xlfn.COMPOUNDVALUE(539)</f>
        <v>2673</v>
      </c>
      <c r="G43" s="115">
        <v>7996685</v>
      </c>
      <c r="H43" s="114">
        <f>_xlfn.COMPOUNDVALUE(540)</f>
        <v>122</v>
      </c>
      <c r="I43" s="116">
        <v>298534</v>
      </c>
      <c r="J43" s="114">
        <v>205</v>
      </c>
      <c r="K43" s="116">
        <v>41977</v>
      </c>
      <c r="L43" s="114">
        <v>2831</v>
      </c>
      <c r="M43" s="116">
        <v>7740128</v>
      </c>
      <c r="N43" s="175">
        <v>2774</v>
      </c>
      <c r="O43" s="176">
        <v>100</v>
      </c>
      <c r="P43" s="176">
        <v>4</v>
      </c>
      <c r="Q43" s="177">
        <v>2878</v>
      </c>
      <c r="R43" s="14" t="s">
        <v>127</v>
      </c>
    </row>
    <row r="44" spans="1:18" ht="15.75" customHeight="1">
      <c r="A44" s="13" t="s">
        <v>52</v>
      </c>
      <c r="B44" s="114">
        <f>_xlfn.COMPOUNDVALUE(541)</f>
        <v>1087</v>
      </c>
      <c r="C44" s="115">
        <v>6473854</v>
      </c>
      <c r="D44" s="114">
        <f>_xlfn.COMPOUNDVALUE(542)</f>
        <v>885</v>
      </c>
      <c r="E44" s="115">
        <v>380655</v>
      </c>
      <c r="F44" s="114">
        <f>_xlfn.COMPOUNDVALUE(543)</f>
        <v>1972</v>
      </c>
      <c r="G44" s="115">
        <v>6854509</v>
      </c>
      <c r="H44" s="114">
        <f>_xlfn.COMPOUNDVALUE(544)</f>
        <v>88</v>
      </c>
      <c r="I44" s="116">
        <v>275757</v>
      </c>
      <c r="J44" s="114">
        <v>118</v>
      </c>
      <c r="K44" s="116">
        <v>-11806</v>
      </c>
      <c r="L44" s="114">
        <v>2074</v>
      </c>
      <c r="M44" s="116">
        <v>6566947</v>
      </c>
      <c r="N44" s="175">
        <v>1950</v>
      </c>
      <c r="O44" s="176">
        <v>62</v>
      </c>
      <c r="P44" s="176">
        <v>5</v>
      </c>
      <c r="Q44" s="177">
        <v>2017</v>
      </c>
      <c r="R44" s="14" t="s">
        <v>128</v>
      </c>
    </row>
    <row r="45" spans="1:18" ht="15.75" customHeight="1">
      <c r="A45" s="13" t="s">
        <v>53</v>
      </c>
      <c r="B45" s="114">
        <f>_xlfn.COMPOUNDVALUE(545)</f>
        <v>744</v>
      </c>
      <c r="C45" s="115">
        <v>3108563</v>
      </c>
      <c r="D45" s="114">
        <f>_xlfn.COMPOUNDVALUE(546)</f>
        <v>562</v>
      </c>
      <c r="E45" s="115">
        <v>254462</v>
      </c>
      <c r="F45" s="114">
        <f>_xlfn.COMPOUNDVALUE(547)</f>
        <v>1306</v>
      </c>
      <c r="G45" s="115">
        <v>3363025</v>
      </c>
      <c r="H45" s="114">
        <f>_xlfn.COMPOUNDVALUE(548)</f>
        <v>68</v>
      </c>
      <c r="I45" s="116">
        <v>343334</v>
      </c>
      <c r="J45" s="114">
        <v>61</v>
      </c>
      <c r="K45" s="116">
        <v>-10476</v>
      </c>
      <c r="L45" s="114">
        <v>1401</v>
      </c>
      <c r="M45" s="116">
        <v>3009214</v>
      </c>
      <c r="N45" s="175">
        <v>1349</v>
      </c>
      <c r="O45" s="176">
        <v>41</v>
      </c>
      <c r="P45" s="176">
        <v>1</v>
      </c>
      <c r="Q45" s="177">
        <v>1391</v>
      </c>
      <c r="R45" s="14" t="s">
        <v>129</v>
      </c>
    </row>
    <row r="46" spans="1:18" ht="15.75" customHeight="1">
      <c r="A46" s="13" t="s">
        <v>54</v>
      </c>
      <c r="B46" s="114">
        <f>_xlfn.COMPOUNDVALUE(549)</f>
        <v>1448</v>
      </c>
      <c r="C46" s="115">
        <v>5890261</v>
      </c>
      <c r="D46" s="114">
        <f>_xlfn.COMPOUNDVALUE(550)</f>
        <v>1321</v>
      </c>
      <c r="E46" s="115">
        <v>599867</v>
      </c>
      <c r="F46" s="114">
        <f>_xlfn.COMPOUNDVALUE(551)</f>
        <v>2769</v>
      </c>
      <c r="G46" s="115">
        <v>6490128</v>
      </c>
      <c r="H46" s="114">
        <f>_xlfn.COMPOUNDVALUE(552)</f>
        <v>100</v>
      </c>
      <c r="I46" s="116">
        <v>312516</v>
      </c>
      <c r="J46" s="114">
        <v>221</v>
      </c>
      <c r="K46" s="116">
        <v>32045</v>
      </c>
      <c r="L46" s="114">
        <v>2887</v>
      </c>
      <c r="M46" s="116">
        <v>6209657</v>
      </c>
      <c r="N46" s="175">
        <v>2905</v>
      </c>
      <c r="O46" s="176">
        <v>71</v>
      </c>
      <c r="P46" s="176">
        <v>6</v>
      </c>
      <c r="Q46" s="177">
        <v>2982</v>
      </c>
      <c r="R46" s="14" t="s">
        <v>130</v>
      </c>
    </row>
    <row r="47" spans="1:18" ht="15.75" customHeight="1">
      <c r="A47" s="84" t="s">
        <v>55</v>
      </c>
      <c r="B47" s="129">
        <v>11069</v>
      </c>
      <c r="C47" s="130">
        <v>54970094</v>
      </c>
      <c r="D47" s="129">
        <v>9166</v>
      </c>
      <c r="E47" s="130">
        <v>4236790</v>
      </c>
      <c r="F47" s="129">
        <v>20235</v>
      </c>
      <c r="G47" s="130">
        <v>59206884</v>
      </c>
      <c r="H47" s="129">
        <v>781</v>
      </c>
      <c r="I47" s="131">
        <v>4266676</v>
      </c>
      <c r="J47" s="129">
        <v>1322</v>
      </c>
      <c r="K47" s="131">
        <v>124440</v>
      </c>
      <c r="L47" s="129">
        <v>21264</v>
      </c>
      <c r="M47" s="131">
        <v>55064649</v>
      </c>
      <c r="N47" s="178">
        <v>20930</v>
      </c>
      <c r="O47" s="179">
        <v>617</v>
      </c>
      <c r="P47" s="179">
        <v>50</v>
      </c>
      <c r="Q47" s="180">
        <v>21597</v>
      </c>
      <c r="R47" s="83" t="s">
        <v>131</v>
      </c>
    </row>
    <row r="48" spans="1:18" ht="15.75" customHeight="1">
      <c r="A48" s="85"/>
      <c r="B48" s="132"/>
      <c r="C48" s="133"/>
      <c r="D48" s="132"/>
      <c r="E48" s="133"/>
      <c r="F48" s="134"/>
      <c r="G48" s="133"/>
      <c r="H48" s="134"/>
      <c r="I48" s="133"/>
      <c r="J48" s="134"/>
      <c r="K48" s="133"/>
      <c r="L48" s="134"/>
      <c r="M48" s="133"/>
      <c r="N48" s="181"/>
      <c r="O48" s="182"/>
      <c r="P48" s="182"/>
      <c r="Q48" s="183"/>
      <c r="R48" s="86"/>
    </row>
    <row r="49" spans="1:18" ht="15.75" customHeight="1">
      <c r="A49" s="87" t="s">
        <v>56</v>
      </c>
      <c r="B49" s="135">
        <f>_xlfn.COMPOUNDVALUE(553)</f>
        <v>4457</v>
      </c>
      <c r="C49" s="136">
        <v>29393339</v>
      </c>
      <c r="D49" s="135">
        <f>_xlfn.COMPOUNDVALUE(554)</f>
        <v>3645</v>
      </c>
      <c r="E49" s="136">
        <v>1773439</v>
      </c>
      <c r="F49" s="135">
        <f>_xlfn.COMPOUNDVALUE(555)</f>
        <v>8102</v>
      </c>
      <c r="G49" s="136">
        <v>31166778</v>
      </c>
      <c r="H49" s="135">
        <f>_xlfn.COMPOUNDVALUE(556)</f>
        <v>236</v>
      </c>
      <c r="I49" s="137">
        <v>1533512</v>
      </c>
      <c r="J49" s="135">
        <v>477</v>
      </c>
      <c r="K49" s="137">
        <v>52478</v>
      </c>
      <c r="L49" s="135">
        <v>8457</v>
      </c>
      <c r="M49" s="137">
        <v>29685744</v>
      </c>
      <c r="N49" s="184">
        <v>8345</v>
      </c>
      <c r="O49" s="185">
        <v>176</v>
      </c>
      <c r="P49" s="185">
        <v>14</v>
      </c>
      <c r="Q49" s="186">
        <v>8535</v>
      </c>
      <c r="R49" s="88" t="s">
        <v>132</v>
      </c>
    </row>
    <row r="50" spans="1:18" ht="15.75" customHeight="1">
      <c r="A50" s="13" t="s">
        <v>57</v>
      </c>
      <c r="B50" s="114">
        <f>_xlfn.COMPOUNDVALUE(557)</f>
        <v>1991</v>
      </c>
      <c r="C50" s="115">
        <v>9402249</v>
      </c>
      <c r="D50" s="114">
        <f>_xlfn.COMPOUNDVALUE(558)</f>
        <v>1642</v>
      </c>
      <c r="E50" s="115">
        <v>713411</v>
      </c>
      <c r="F50" s="114">
        <f>_xlfn.COMPOUNDVALUE(559)</f>
        <v>3633</v>
      </c>
      <c r="G50" s="115">
        <v>10115660</v>
      </c>
      <c r="H50" s="114">
        <f>_xlfn.COMPOUNDVALUE(560)</f>
        <v>142</v>
      </c>
      <c r="I50" s="116">
        <v>1324155</v>
      </c>
      <c r="J50" s="114">
        <v>222</v>
      </c>
      <c r="K50" s="116">
        <v>39161</v>
      </c>
      <c r="L50" s="114">
        <v>3846</v>
      </c>
      <c r="M50" s="116">
        <v>8830666</v>
      </c>
      <c r="N50" s="175">
        <v>3756</v>
      </c>
      <c r="O50" s="176">
        <v>108</v>
      </c>
      <c r="P50" s="176">
        <v>5</v>
      </c>
      <c r="Q50" s="177">
        <v>3869</v>
      </c>
      <c r="R50" s="14" t="s">
        <v>133</v>
      </c>
    </row>
    <row r="51" spans="1:18" ht="15.75" customHeight="1">
      <c r="A51" s="13" t="s">
        <v>58</v>
      </c>
      <c r="B51" s="114">
        <f>_xlfn.COMPOUNDVALUE(561)</f>
        <v>1803</v>
      </c>
      <c r="C51" s="115">
        <v>9056063</v>
      </c>
      <c r="D51" s="114">
        <f>_xlfn.COMPOUNDVALUE(562)</f>
        <v>1813</v>
      </c>
      <c r="E51" s="115">
        <v>760705</v>
      </c>
      <c r="F51" s="114">
        <f>_xlfn.COMPOUNDVALUE(563)</f>
        <v>3616</v>
      </c>
      <c r="G51" s="115">
        <v>9816768</v>
      </c>
      <c r="H51" s="114">
        <f>_xlfn.COMPOUNDVALUE(564)</f>
        <v>138</v>
      </c>
      <c r="I51" s="116">
        <v>418133</v>
      </c>
      <c r="J51" s="114">
        <v>195</v>
      </c>
      <c r="K51" s="116">
        <v>24938</v>
      </c>
      <c r="L51" s="114">
        <v>3810</v>
      </c>
      <c r="M51" s="116">
        <v>9423573</v>
      </c>
      <c r="N51" s="175">
        <v>3798</v>
      </c>
      <c r="O51" s="176">
        <v>70</v>
      </c>
      <c r="P51" s="176">
        <v>4</v>
      </c>
      <c r="Q51" s="177">
        <v>3872</v>
      </c>
      <c r="R51" s="14" t="s">
        <v>134</v>
      </c>
    </row>
    <row r="52" spans="1:18" ht="15.75" customHeight="1">
      <c r="A52" s="13" t="s">
        <v>59</v>
      </c>
      <c r="B52" s="114">
        <f>_xlfn.COMPOUNDVALUE(565)</f>
        <v>1396</v>
      </c>
      <c r="C52" s="115">
        <v>8032486</v>
      </c>
      <c r="D52" s="114">
        <f>_xlfn.COMPOUNDVALUE(566)</f>
        <v>1323</v>
      </c>
      <c r="E52" s="115">
        <v>556328</v>
      </c>
      <c r="F52" s="114">
        <f>_xlfn.COMPOUNDVALUE(567)</f>
        <v>2719</v>
      </c>
      <c r="G52" s="115">
        <v>8588814</v>
      </c>
      <c r="H52" s="114">
        <f>_xlfn.COMPOUNDVALUE(568)</f>
        <v>115</v>
      </c>
      <c r="I52" s="116">
        <v>232613</v>
      </c>
      <c r="J52" s="114">
        <v>155</v>
      </c>
      <c r="K52" s="116">
        <v>13018</v>
      </c>
      <c r="L52" s="114">
        <v>2864</v>
      </c>
      <c r="M52" s="116">
        <v>8369220</v>
      </c>
      <c r="N52" s="175">
        <v>2752</v>
      </c>
      <c r="O52" s="176">
        <v>58</v>
      </c>
      <c r="P52" s="176">
        <v>4</v>
      </c>
      <c r="Q52" s="177">
        <v>2814</v>
      </c>
      <c r="R52" s="14" t="s">
        <v>135</v>
      </c>
    </row>
    <row r="53" spans="1:18" ht="15.75" customHeight="1">
      <c r="A53" s="13" t="s">
        <v>60</v>
      </c>
      <c r="B53" s="114">
        <f>_xlfn.COMPOUNDVALUE(569)</f>
        <v>965</v>
      </c>
      <c r="C53" s="115">
        <v>3961479</v>
      </c>
      <c r="D53" s="114">
        <f>_xlfn.COMPOUNDVALUE(570)</f>
        <v>947</v>
      </c>
      <c r="E53" s="115">
        <v>440249</v>
      </c>
      <c r="F53" s="114">
        <f>_xlfn.COMPOUNDVALUE(571)</f>
        <v>1912</v>
      </c>
      <c r="G53" s="115">
        <v>4401728</v>
      </c>
      <c r="H53" s="114">
        <f>_xlfn.COMPOUNDVALUE(572)</f>
        <v>60</v>
      </c>
      <c r="I53" s="116">
        <v>147601</v>
      </c>
      <c r="J53" s="114">
        <v>129</v>
      </c>
      <c r="K53" s="116">
        <v>8908</v>
      </c>
      <c r="L53" s="114">
        <v>2000</v>
      </c>
      <c r="M53" s="116">
        <v>4263035</v>
      </c>
      <c r="N53" s="175">
        <v>1995</v>
      </c>
      <c r="O53" s="176">
        <v>44</v>
      </c>
      <c r="P53" s="176">
        <v>2</v>
      </c>
      <c r="Q53" s="177">
        <v>2041</v>
      </c>
      <c r="R53" s="14" t="s">
        <v>136</v>
      </c>
    </row>
    <row r="54" spans="1:18" ht="15.75" customHeight="1">
      <c r="A54" s="13" t="s">
        <v>61</v>
      </c>
      <c r="B54" s="114">
        <f>_xlfn.COMPOUNDVALUE(573)</f>
        <v>937</v>
      </c>
      <c r="C54" s="115">
        <v>4725742</v>
      </c>
      <c r="D54" s="114">
        <f>_xlfn.COMPOUNDVALUE(574)</f>
        <v>911</v>
      </c>
      <c r="E54" s="115">
        <v>394361</v>
      </c>
      <c r="F54" s="114">
        <f>_xlfn.COMPOUNDVALUE(575)</f>
        <v>1848</v>
      </c>
      <c r="G54" s="115">
        <v>5120103</v>
      </c>
      <c r="H54" s="114">
        <f>_xlfn.COMPOUNDVALUE(576)</f>
        <v>56</v>
      </c>
      <c r="I54" s="116">
        <v>135626</v>
      </c>
      <c r="J54" s="114">
        <v>94</v>
      </c>
      <c r="K54" s="116">
        <v>17083</v>
      </c>
      <c r="L54" s="114">
        <v>1942</v>
      </c>
      <c r="M54" s="116">
        <v>5001560</v>
      </c>
      <c r="N54" s="175">
        <v>1865</v>
      </c>
      <c r="O54" s="176">
        <v>45</v>
      </c>
      <c r="P54" s="176">
        <v>3</v>
      </c>
      <c r="Q54" s="177">
        <v>1913</v>
      </c>
      <c r="R54" s="14" t="s">
        <v>137</v>
      </c>
    </row>
    <row r="55" spans="1:18" ht="15.75" customHeight="1">
      <c r="A55" s="13" t="s">
        <v>62</v>
      </c>
      <c r="B55" s="114">
        <f>_xlfn.COMPOUNDVALUE(577)</f>
        <v>1165</v>
      </c>
      <c r="C55" s="115">
        <v>5290925</v>
      </c>
      <c r="D55" s="114">
        <f>_xlfn.COMPOUNDVALUE(578)</f>
        <v>1077</v>
      </c>
      <c r="E55" s="115">
        <v>454845</v>
      </c>
      <c r="F55" s="114">
        <f>_xlfn.COMPOUNDVALUE(579)</f>
        <v>2242</v>
      </c>
      <c r="G55" s="115">
        <v>5745771</v>
      </c>
      <c r="H55" s="114">
        <f>_xlfn.COMPOUNDVALUE(580)</f>
        <v>89</v>
      </c>
      <c r="I55" s="116">
        <v>1276502</v>
      </c>
      <c r="J55" s="114">
        <v>257</v>
      </c>
      <c r="K55" s="116">
        <v>26043</v>
      </c>
      <c r="L55" s="114">
        <v>2400</v>
      </c>
      <c r="M55" s="116">
        <v>4495312</v>
      </c>
      <c r="N55" s="175">
        <v>2261</v>
      </c>
      <c r="O55" s="176">
        <v>44</v>
      </c>
      <c r="P55" s="176">
        <v>3</v>
      </c>
      <c r="Q55" s="177">
        <v>2308</v>
      </c>
      <c r="R55" s="14" t="s">
        <v>138</v>
      </c>
    </row>
    <row r="56" spans="1:18" ht="15.75" customHeight="1">
      <c r="A56" s="13" t="s">
        <v>63</v>
      </c>
      <c r="B56" s="114">
        <f>_xlfn.COMPOUNDVALUE(581)</f>
        <v>787</v>
      </c>
      <c r="C56" s="115">
        <v>3832507</v>
      </c>
      <c r="D56" s="114">
        <f>_xlfn.COMPOUNDVALUE(582)</f>
        <v>567</v>
      </c>
      <c r="E56" s="115">
        <v>254748</v>
      </c>
      <c r="F56" s="114">
        <f>_xlfn.COMPOUNDVALUE(583)</f>
        <v>1354</v>
      </c>
      <c r="G56" s="115">
        <v>4087255</v>
      </c>
      <c r="H56" s="114">
        <f>_xlfn.COMPOUNDVALUE(584)</f>
        <v>64</v>
      </c>
      <c r="I56" s="116">
        <v>338368</v>
      </c>
      <c r="J56" s="114">
        <v>42</v>
      </c>
      <c r="K56" s="116">
        <v>7709</v>
      </c>
      <c r="L56" s="114">
        <v>1429</v>
      </c>
      <c r="M56" s="116">
        <v>3756596</v>
      </c>
      <c r="N56" s="175">
        <v>1396</v>
      </c>
      <c r="O56" s="176">
        <v>37</v>
      </c>
      <c r="P56" s="176">
        <v>4</v>
      </c>
      <c r="Q56" s="177">
        <v>1437</v>
      </c>
      <c r="R56" s="14" t="s">
        <v>139</v>
      </c>
    </row>
    <row r="57" spans="1:18" ht="15.75" customHeight="1">
      <c r="A57" s="84" t="s">
        <v>64</v>
      </c>
      <c r="B57" s="129">
        <v>13501</v>
      </c>
      <c r="C57" s="130">
        <v>73694790</v>
      </c>
      <c r="D57" s="129">
        <v>11925</v>
      </c>
      <c r="E57" s="130">
        <v>5348086</v>
      </c>
      <c r="F57" s="129">
        <v>25426</v>
      </c>
      <c r="G57" s="130">
        <v>79042877</v>
      </c>
      <c r="H57" s="129">
        <v>900</v>
      </c>
      <c r="I57" s="131">
        <v>5406510</v>
      </c>
      <c r="J57" s="129">
        <v>1571</v>
      </c>
      <c r="K57" s="131">
        <v>189339</v>
      </c>
      <c r="L57" s="129">
        <v>26748</v>
      </c>
      <c r="M57" s="131">
        <v>73825705</v>
      </c>
      <c r="N57" s="178">
        <v>26168</v>
      </c>
      <c r="O57" s="179">
        <v>582</v>
      </c>
      <c r="P57" s="179">
        <v>39</v>
      </c>
      <c r="Q57" s="180">
        <v>26789</v>
      </c>
      <c r="R57" s="83" t="s">
        <v>140</v>
      </c>
    </row>
    <row r="58" spans="1:18" ht="15.75" customHeight="1">
      <c r="A58" s="85"/>
      <c r="B58" s="132"/>
      <c r="C58" s="133"/>
      <c r="D58" s="132"/>
      <c r="E58" s="133"/>
      <c r="F58" s="134"/>
      <c r="G58" s="133"/>
      <c r="H58" s="134"/>
      <c r="I58" s="133"/>
      <c r="J58" s="134"/>
      <c r="K58" s="133"/>
      <c r="L58" s="134"/>
      <c r="M58" s="133"/>
      <c r="N58" s="181"/>
      <c r="O58" s="182"/>
      <c r="P58" s="182"/>
      <c r="Q58" s="183"/>
      <c r="R58" s="86" t="s">
        <v>141</v>
      </c>
    </row>
    <row r="59" spans="1:18" ht="15.75" customHeight="1">
      <c r="A59" s="87" t="s">
        <v>65</v>
      </c>
      <c r="B59" s="135">
        <f>_xlfn.COMPOUNDVALUE(585)</f>
        <v>4268</v>
      </c>
      <c r="C59" s="136">
        <v>26472269</v>
      </c>
      <c r="D59" s="135">
        <f>_xlfn.COMPOUNDVALUE(586)</f>
        <v>3131</v>
      </c>
      <c r="E59" s="136">
        <v>1516348</v>
      </c>
      <c r="F59" s="135">
        <f>_xlfn.COMPOUNDVALUE(587)</f>
        <v>7399</v>
      </c>
      <c r="G59" s="136">
        <v>27988616</v>
      </c>
      <c r="H59" s="135">
        <f>_xlfn.COMPOUNDVALUE(588)</f>
        <v>262</v>
      </c>
      <c r="I59" s="137">
        <v>2239103</v>
      </c>
      <c r="J59" s="135">
        <v>575</v>
      </c>
      <c r="K59" s="137">
        <v>175521</v>
      </c>
      <c r="L59" s="135">
        <v>7775</v>
      </c>
      <c r="M59" s="137">
        <v>25925035</v>
      </c>
      <c r="N59" s="184">
        <v>7881</v>
      </c>
      <c r="O59" s="185">
        <v>189</v>
      </c>
      <c r="P59" s="185">
        <v>20</v>
      </c>
      <c r="Q59" s="186">
        <v>8090</v>
      </c>
      <c r="R59" s="88" t="s">
        <v>142</v>
      </c>
    </row>
    <row r="60" spans="1:18" ht="15.75" customHeight="1">
      <c r="A60" s="11" t="s">
        <v>66</v>
      </c>
      <c r="B60" s="111">
        <f>_xlfn.COMPOUNDVALUE(589)</f>
        <v>2126</v>
      </c>
      <c r="C60" s="112">
        <v>10561104</v>
      </c>
      <c r="D60" s="111">
        <f>_xlfn.COMPOUNDVALUE(590)</f>
        <v>1988</v>
      </c>
      <c r="E60" s="112">
        <v>930988</v>
      </c>
      <c r="F60" s="111">
        <f>_xlfn.COMPOUNDVALUE(591)</f>
        <v>4114</v>
      </c>
      <c r="G60" s="112">
        <v>11492093</v>
      </c>
      <c r="H60" s="111">
        <f>_xlfn.COMPOUNDVALUE(592)</f>
        <v>136</v>
      </c>
      <c r="I60" s="113">
        <v>1033483</v>
      </c>
      <c r="J60" s="111">
        <v>273</v>
      </c>
      <c r="K60" s="113">
        <v>34762</v>
      </c>
      <c r="L60" s="111">
        <v>4326</v>
      </c>
      <c r="M60" s="113">
        <v>10493372</v>
      </c>
      <c r="N60" s="175">
        <v>4301</v>
      </c>
      <c r="O60" s="176">
        <v>94</v>
      </c>
      <c r="P60" s="176">
        <v>12</v>
      </c>
      <c r="Q60" s="177">
        <v>4407</v>
      </c>
      <c r="R60" s="14" t="s">
        <v>143</v>
      </c>
    </row>
    <row r="61" spans="1:18" ht="15.75" customHeight="1">
      <c r="A61" s="11" t="s">
        <v>67</v>
      </c>
      <c r="B61" s="111">
        <f>_xlfn.COMPOUNDVALUE(593)</f>
        <v>5337</v>
      </c>
      <c r="C61" s="112">
        <v>37463596</v>
      </c>
      <c r="D61" s="111">
        <f>_xlfn.COMPOUNDVALUE(594)</f>
        <v>3494</v>
      </c>
      <c r="E61" s="112">
        <v>1857254</v>
      </c>
      <c r="F61" s="111">
        <f>_xlfn.COMPOUNDVALUE(595)</f>
        <v>8831</v>
      </c>
      <c r="G61" s="112">
        <v>39320850</v>
      </c>
      <c r="H61" s="111">
        <f>_xlfn.COMPOUNDVALUE(596)</f>
        <v>376</v>
      </c>
      <c r="I61" s="113">
        <v>2462017</v>
      </c>
      <c r="J61" s="111">
        <v>483</v>
      </c>
      <c r="K61" s="113">
        <v>120853</v>
      </c>
      <c r="L61" s="111">
        <v>9330</v>
      </c>
      <c r="M61" s="113">
        <v>36979686</v>
      </c>
      <c r="N61" s="175">
        <v>9639</v>
      </c>
      <c r="O61" s="176">
        <v>255</v>
      </c>
      <c r="P61" s="176">
        <v>31</v>
      </c>
      <c r="Q61" s="177">
        <v>9925</v>
      </c>
      <c r="R61" s="14" t="s">
        <v>144</v>
      </c>
    </row>
    <row r="62" spans="1:18" ht="15.75" customHeight="1">
      <c r="A62" s="13" t="s">
        <v>68</v>
      </c>
      <c r="B62" s="114">
        <f>_xlfn.COMPOUNDVALUE(597)</f>
        <v>4428</v>
      </c>
      <c r="C62" s="115">
        <v>24381700</v>
      </c>
      <c r="D62" s="114">
        <f>_xlfn.COMPOUNDVALUE(598)</f>
        <v>2729</v>
      </c>
      <c r="E62" s="115">
        <v>1519400</v>
      </c>
      <c r="F62" s="114">
        <f>_xlfn.COMPOUNDVALUE(599)</f>
        <v>7157</v>
      </c>
      <c r="G62" s="115">
        <v>25901100</v>
      </c>
      <c r="H62" s="114">
        <f>_xlfn.COMPOUNDVALUE(600)</f>
        <v>244</v>
      </c>
      <c r="I62" s="116">
        <v>3512538</v>
      </c>
      <c r="J62" s="114">
        <v>435</v>
      </c>
      <c r="K62" s="116">
        <v>-412622</v>
      </c>
      <c r="L62" s="114">
        <v>7512</v>
      </c>
      <c r="M62" s="116">
        <v>21975940</v>
      </c>
      <c r="N62" s="175">
        <v>7631</v>
      </c>
      <c r="O62" s="176">
        <v>209</v>
      </c>
      <c r="P62" s="176">
        <v>14</v>
      </c>
      <c r="Q62" s="177">
        <v>7854</v>
      </c>
      <c r="R62" s="14" t="s">
        <v>68</v>
      </c>
    </row>
    <row r="63" spans="1:18" ht="15.75" customHeight="1">
      <c r="A63" s="13" t="s">
        <v>69</v>
      </c>
      <c r="B63" s="114">
        <f>_xlfn.COMPOUNDVALUE(601)</f>
        <v>1706</v>
      </c>
      <c r="C63" s="115">
        <v>7936052</v>
      </c>
      <c r="D63" s="114">
        <f>_xlfn.COMPOUNDVALUE(602)</f>
        <v>1343</v>
      </c>
      <c r="E63" s="115">
        <v>617145</v>
      </c>
      <c r="F63" s="114">
        <f>_xlfn.COMPOUNDVALUE(603)</f>
        <v>3049</v>
      </c>
      <c r="G63" s="115">
        <v>8553197</v>
      </c>
      <c r="H63" s="114">
        <f>_xlfn.COMPOUNDVALUE(604)</f>
        <v>125</v>
      </c>
      <c r="I63" s="116">
        <v>409741</v>
      </c>
      <c r="J63" s="114">
        <v>116</v>
      </c>
      <c r="K63" s="116">
        <v>-53162</v>
      </c>
      <c r="L63" s="114">
        <v>3194</v>
      </c>
      <c r="M63" s="116">
        <v>8090294</v>
      </c>
      <c r="N63" s="175">
        <v>3136</v>
      </c>
      <c r="O63" s="176">
        <v>93</v>
      </c>
      <c r="P63" s="176">
        <v>5</v>
      </c>
      <c r="Q63" s="177">
        <v>3234</v>
      </c>
      <c r="R63" s="14" t="s">
        <v>145</v>
      </c>
    </row>
    <row r="64" spans="1:18" ht="15.75" customHeight="1">
      <c r="A64" s="13" t="s">
        <v>70</v>
      </c>
      <c r="B64" s="114">
        <f>_xlfn.COMPOUNDVALUE(605)</f>
        <v>1553</v>
      </c>
      <c r="C64" s="115">
        <v>7362541</v>
      </c>
      <c r="D64" s="114">
        <f>_xlfn.COMPOUNDVALUE(606)</f>
        <v>1356</v>
      </c>
      <c r="E64" s="115">
        <v>617486</v>
      </c>
      <c r="F64" s="114">
        <f>_xlfn.COMPOUNDVALUE(607)</f>
        <v>2909</v>
      </c>
      <c r="G64" s="115">
        <v>7980027</v>
      </c>
      <c r="H64" s="114">
        <f>_xlfn.COMPOUNDVALUE(608)</f>
        <v>99</v>
      </c>
      <c r="I64" s="116">
        <v>469951</v>
      </c>
      <c r="J64" s="114">
        <v>153</v>
      </c>
      <c r="K64" s="116">
        <v>27680</v>
      </c>
      <c r="L64" s="114">
        <v>3063</v>
      </c>
      <c r="M64" s="116">
        <v>7537756</v>
      </c>
      <c r="N64" s="175">
        <v>3121</v>
      </c>
      <c r="O64" s="176">
        <v>69</v>
      </c>
      <c r="P64" s="176">
        <v>2</v>
      </c>
      <c r="Q64" s="177">
        <v>3192</v>
      </c>
      <c r="R64" s="14" t="s">
        <v>146</v>
      </c>
    </row>
    <row r="65" spans="1:18" ht="15.75" customHeight="1">
      <c r="A65" s="13" t="s">
        <v>71</v>
      </c>
      <c r="B65" s="114">
        <f>_xlfn.COMPOUNDVALUE(609)</f>
        <v>639</v>
      </c>
      <c r="C65" s="115">
        <v>2703967</v>
      </c>
      <c r="D65" s="114">
        <f>_xlfn.COMPOUNDVALUE(610)</f>
        <v>635</v>
      </c>
      <c r="E65" s="115">
        <v>311682</v>
      </c>
      <c r="F65" s="114">
        <f>_xlfn.COMPOUNDVALUE(611)</f>
        <v>1274</v>
      </c>
      <c r="G65" s="115">
        <v>3015648</v>
      </c>
      <c r="H65" s="114">
        <f>_xlfn.COMPOUNDVALUE(612)</f>
        <v>30</v>
      </c>
      <c r="I65" s="116">
        <v>52866</v>
      </c>
      <c r="J65" s="114">
        <v>40</v>
      </c>
      <c r="K65" s="116">
        <v>7753</v>
      </c>
      <c r="L65" s="114">
        <v>1322</v>
      </c>
      <c r="M65" s="116">
        <v>2970535</v>
      </c>
      <c r="N65" s="175">
        <v>1268</v>
      </c>
      <c r="O65" s="176">
        <v>30</v>
      </c>
      <c r="P65" s="176">
        <v>5</v>
      </c>
      <c r="Q65" s="177">
        <v>1303</v>
      </c>
      <c r="R65" s="14" t="s">
        <v>147</v>
      </c>
    </row>
    <row r="66" spans="1:18" ht="15.75" customHeight="1">
      <c r="A66" s="13" t="s">
        <v>72</v>
      </c>
      <c r="B66" s="114">
        <f>_xlfn.COMPOUNDVALUE(613)</f>
        <v>2255</v>
      </c>
      <c r="C66" s="115">
        <v>15741074</v>
      </c>
      <c r="D66" s="114">
        <f>_xlfn.COMPOUNDVALUE(614)</f>
        <v>1212</v>
      </c>
      <c r="E66" s="115">
        <v>631955</v>
      </c>
      <c r="F66" s="114">
        <f>_xlfn.COMPOUNDVALUE(615)</f>
        <v>3467</v>
      </c>
      <c r="G66" s="115">
        <v>16373029</v>
      </c>
      <c r="H66" s="114">
        <f>_xlfn.COMPOUNDVALUE(616)</f>
        <v>287</v>
      </c>
      <c r="I66" s="116">
        <v>1092376</v>
      </c>
      <c r="J66" s="114">
        <v>276</v>
      </c>
      <c r="K66" s="116">
        <v>162667</v>
      </c>
      <c r="L66" s="114">
        <v>3866</v>
      </c>
      <c r="M66" s="116">
        <v>15443320</v>
      </c>
      <c r="N66" s="175">
        <v>3765</v>
      </c>
      <c r="O66" s="176">
        <v>218</v>
      </c>
      <c r="P66" s="176">
        <v>24</v>
      </c>
      <c r="Q66" s="177">
        <v>4007</v>
      </c>
      <c r="R66" s="14" t="s">
        <v>148</v>
      </c>
    </row>
    <row r="67" spans="1:18" ht="15.75" customHeight="1">
      <c r="A67" s="13" t="s">
        <v>73</v>
      </c>
      <c r="B67" s="114">
        <f>_xlfn.COMPOUNDVALUE(617)</f>
        <v>1151</v>
      </c>
      <c r="C67" s="115">
        <v>5898290</v>
      </c>
      <c r="D67" s="114">
        <f>_xlfn.COMPOUNDVALUE(618)</f>
        <v>756</v>
      </c>
      <c r="E67" s="115">
        <v>356584</v>
      </c>
      <c r="F67" s="114">
        <f>_xlfn.COMPOUNDVALUE(619)</f>
        <v>1907</v>
      </c>
      <c r="G67" s="115">
        <v>6254875</v>
      </c>
      <c r="H67" s="114">
        <f>_xlfn.COMPOUNDVALUE(620)</f>
        <v>87</v>
      </c>
      <c r="I67" s="116">
        <v>106163</v>
      </c>
      <c r="J67" s="114">
        <v>90</v>
      </c>
      <c r="K67" s="116">
        <v>37903</v>
      </c>
      <c r="L67" s="114">
        <v>2009</v>
      </c>
      <c r="M67" s="116">
        <v>6186615</v>
      </c>
      <c r="N67" s="175">
        <v>2008</v>
      </c>
      <c r="O67" s="176">
        <v>61</v>
      </c>
      <c r="P67" s="176">
        <v>5</v>
      </c>
      <c r="Q67" s="177">
        <v>2074</v>
      </c>
      <c r="R67" s="14" t="s">
        <v>149</v>
      </c>
    </row>
    <row r="68" spans="1:18" ht="15.75" customHeight="1">
      <c r="A68" s="13" t="s">
        <v>74</v>
      </c>
      <c r="B68" s="114">
        <f>_xlfn.COMPOUNDVALUE(621)</f>
        <v>374</v>
      </c>
      <c r="C68" s="115">
        <v>1160005</v>
      </c>
      <c r="D68" s="114">
        <f>_xlfn.COMPOUNDVALUE(622)</f>
        <v>322</v>
      </c>
      <c r="E68" s="115">
        <v>155608</v>
      </c>
      <c r="F68" s="114">
        <f>_xlfn.COMPOUNDVALUE(623)</f>
        <v>696</v>
      </c>
      <c r="G68" s="115">
        <v>1315612</v>
      </c>
      <c r="H68" s="114">
        <f>_xlfn.COMPOUNDVALUE(624)</f>
        <v>31</v>
      </c>
      <c r="I68" s="116">
        <v>116599</v>
      </c>
      <c r="J68" s="114">
        <v>44</v>
      </c>
      <c r="K68" s="116">
        <v>3217</v>
      </c>
      <c r="L68" s="114">
        <v>742</v>
      </c>
      <c r="M68" s="116">
        <v>1202231</v>
      </c>
      <c r="N68" s="175">
        <v>719</v>
      </c>
      <c r="O68" s="176">
        <v>16</v>
      </c>
      <c r="P68" s="176">
        <v>0</v>
      </c>
      <c r="Q68" s="177">
        <v>735</v>
      </c>
      <c r="R68" s="14" t="s">
        <v>150</v>
      </c>
    </row>
    <row r="69" spans="1:18" ht="15.75" customHeight="1">
      <c r="A69" s="84" t="s">
        <v>75</v>
      </c>
      <c r="B69" s="129">
        <v>23837</v>
      </c>
      <c r="C69" s="130">
        <v>139680598</v>
      </c>
      <c r="D69" s="129">
        <v>16966</v>
      </c>
      <c r="E69" s="130">
        <v>8514450</v>
      </c>
      <c r="F69" s="129">
        <v>40803</v>
      </c>
      <c r="G69" s="130">
        <v>148195048</v>
      </c>
      <c r="H69" s="129">
        <v>1677</v>
      </c>
      <c r="I69" s="131">
        <v>11494836</v>
      </c>
      <c r="J69" s="129">
        <v>2485</v>
      </c>
      <c r="K69" s="131">
        <v>104572</v>
      </c>
      <c r="L69" s="129">
        <v>43139</v>
      </c>
      <c r="M69" s="131">
        <v>136804783</v>
      </c>
      <c r="N69" s="178">
        <v>43469</v>
      </c>
      <c r="O69" s="179">
        <v>1234</v>
      </c>
      <c r="P69" s="179">
        <v>118</v>
      </c>
      <c r="Q69" s="180">
        <v>44821</v>
      </c>
      <c r="R69" s="83" t="s">
        <v>151</v>
      </c>
    </row>
    <row r="70" spans="1:18" ht="15.75" customHeight="1" thickBot="1">
      <c r="A70" s="18"/>
      <c r="B70" s="141"/>
      <c r="C70" s="142"/>
      <c r="D70" s="141"/>
      <c r="E70" s="142"/>
      <c r="F70" s="143"/>
      <c r="G70" s="142"/>
      <c r="H70" s="143"/>
      <c r="I70" s="142"/>
      <c r="J70" s="143"/>
      <c r="K70" s="142"/>
      <c r="L70" s="143"/>
      <c r="M70" s="142"/>
      <c r="N70" s="190"/>
      <c r="O70" s="191"/>
      <c r="P70" s="191"/>
      <c r="Q70" s="192"/>
      <c r="R70" s="82"/>
    </row>
    <row r="71" spans="1:18" ht="15.75" customHeight="1" thickBot="1" thickTop="1">
      <c r="A71" s="21" t="s">
        <v>94</v>
      </c>
      <c r="B71" s="126">
        <v>106519</v>
      </c>
      <c r="C71" s="127">
        <v>644150683</v>
      </c>
      <c r="D71" s="126">
        <v>79769</v>
      </c>
      <c r="E71" s="127">
        <v>38615638</v>
      </c>
      <c r="F71" s="126">
        <v>186288</v>
      </c>
      <c r="G71" s="127">
        <v>682766321</v>
      </c>
      <c r="H71" s="126">
        <v>7730</v>
      </c>
      <c r="I71" s="128">
        <v>45939042</v>
      </c>
      <c r="J71" s="126">
        <v>12331</v>
      </c>
      <c r="K71" s="128">
        <v>2070332</v>
      </c>
      <c r="L71" s="126">
        <v>197169</v>
      </c>
      <c r="M71" s="128">
        <v>638897611</v>
      </c>
      <c r="N71" s="193">
        <v>195741</v>
      </c>
      <c r="O71" s="194">
        <v>5624</v>
      </c>
      <c r="P71" s="194">
        <v>461</v>
      </c>
      <c r="Q71" s="195">
        <v>201826</v>
      </c>
      <c r="R71" s="32" t="s">
        <v>94</v>
      </c>
    </row>
    <row r="72" spans="1:10" ht="19.5" customHeight="1">
      <c r="A72" s="223" t="s">
        <v>235</v>
      </c>
      <c r="B72" s="223"/>
      <c r="C72" s="223"/>
      <c r="D72" s="223"/>
      <c r="E72" s="223"/>
      <c r="F72" s="223"/>
      <c r="G72" s="223"/>
      <c r="H72" s="223"/>
      <c r="I72" s="223"/>
      <c r="J72" s="223"/>
    </row>
  </sheetData>
  <sheetProtection/>
  <mergeCells count="16">
    <mergeCell ref="A72:J72"/>
    <mergeCell ref="O4:O5"/>
    <mergeCell ref="P4:P5"/>
    <mergeCell ref="Q4:Q5"/>
    <mergeCell ref="J3:K4"/>
    <mergeCell ref="L3:M4"/>
    <mergeCell ref="N3:Q3"/>
    <mergeCell ref="A2:I2"/>
    <mergeCell ref="A3:A5"/>
    <mergeCell ref="B3:G3"/>
    <mergeCell ref="H3:I4"/>
    <mergeCell ref="R3:R5"/>
    <mergeCell ref="B4:C4"/>
    <mergeCell ref="D4:E4"/>
    <mergeCell ref="F4:G4"/>
    <mergeCell ref="N4:N5"/>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67" r:id="rId1"/>
  <headerFooter alignWithMargins="0">
    <oddFooter>&amp;R仙台国税局
消費税
(R01)</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2020-01-21T02:29:54Z</cp:lastPrinted>
  <dcterms:created xsi:type="dcterms:W3CDTF">2011-12-09T10:59:54Z</dcterms:created>
  <dcterms:modified xsi:type="dcterms:W3CDTF">2021-04-12T06:41:43Z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