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<sst xmlns="http://schemas.openxmlformats.org/spreadsheetml/2006/main" count="551" uniqueCount="252">
  <si>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</si>
  <si>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</si>
  <si>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</si>
  <si>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</si>
  <si>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</si>
  <si>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</si>
  <si>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</si>
  <si>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</si>
  <si>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</si>
  <si>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</si>
  <si>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</si>
  <si>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</si>
  <si>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</si>
  <si>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</si>
  <si>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</si>
  <si>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</si>
  <si>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</si>
  <si>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</si>
  <si>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</si>
  <si>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</si>
  <si>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</si>
  <si>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</si>
  <si>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</si>
  <si>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</si>
  <si>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</si>
  <si>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</si>
  <si>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</si>
  <si>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</si>
  <si>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</si>
  <si>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</si>
  <si>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</si>
  <si>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</si>
  <si>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</si>
  <si>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</si>
  <si>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</si>
  <si>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</si>
  <si>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</si>
  <si>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</si>
  <si>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</si>
  <si>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</si>
  <si>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</si>
  <si>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</si>
  <si>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</si>
  <si>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</si>
  <si>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</si>
  <si>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</si>
  <si>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</si>
  <si>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</si>
  <si>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</si>
  <si>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</si>
  <si>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</si>
  <si>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</si>
  <si>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</si>
  <si>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</si>
  <si>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</si>
  <si>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</si>
  <si>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</si>
  <si>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</si>
  <si>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</si>
  <si>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</si>
  <si>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</si>
  <si>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</si>
  <si>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</si>
  <si>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</si>
  <si>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</si>
  <si>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</si>
  <si>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</si>
  <si>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</si>
  <si>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</si>
  <si>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</si>
  <si>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</si>
  <si>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</si>
  <si>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</si>
  <si>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</si>
  <si>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</si>
  <si>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</si>
  <si>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</si>
  <si>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</si>
  <si>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</si>
  <si>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</si>
  <si>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</si>
  <si>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</si>
  <si>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</si>
  <si>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</si>
  <si>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</si>
  <si>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</si>
  <si>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</si>
  <si>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</si>
  <si>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</si>
  <si>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</si>
  <si>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</si>
  <si>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</si>
  <si>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</si>
  <si>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</si>
  <si>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</si>
  <si>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</si>
  <si>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</si>
  <si>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</si>
  <si>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</si>
  <si>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</si>
  <si>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</si>
  <si>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</si>
  <si>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</si>
  <si>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</si>
  <si>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</si>
  <si>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</si>
  <si>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</si>
  <si>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</si>
  <si>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</si>
  <si>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</si>
  <si>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</si>
  <si>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</si>
  <si>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</si>
  <si>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</si>
  <si>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</si>
  <si>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</si>
  <si>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</si>
  <si>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</si>
  <si>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</si>
  <si>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</si>
  <si>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</si>
  <si>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</si>
  <si>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</si>
  <si>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</si>
  <si>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</si>
  <si>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</si>
  <si>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</si>
  <si>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</si>
  <si>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</si>
  <si>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</si>
  <si>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</si>
  <si>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</si>
  <si>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</si>
  <si>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</si>
  <si>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</si>
  <si>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</si>
  <si>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</si>
  <si>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</si>
  <si>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</si>
  <si>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</si>
  <si>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</si>
  <si>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</si>
  <si>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</si>
  <si>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</si>
  <si>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</si>
  <si>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</si>
  <si>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</si>
  <si>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</si>
  <si>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</si>
  <si>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</si>
  <si>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</si>
  <si>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</si>
  <si>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</si>
  <si>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</si>
  <si>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</si>
  <si>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</si>
  <si>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</si>
  <si>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差引計</t>
  </si>
  <si>
    <t>実</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</si>
  <si>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</si>
  <si>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</si>
  <si>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</si>
  <si>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</si>
  <si>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</si>
  <si>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</si>
  <si>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</si>
  <si>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</si>
  <si>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</si>
  <si>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平成25年度</t>
  </si>
  <si>
    <t>調査対象等：</t>
  </si>
  <si>
    <t>（注）１　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</si>
  <si>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</si>
  <si>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</si>
  <si>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</si>
  <si>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</si>
  <si>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</si>
  <si>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</si>
  <si>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</si>
  <si>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</si>
  <si>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</si>
  <si>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</si>
  <si>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</si>
  <si>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</si>
  <si>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</si>
  <si>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</si>
  <si>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</si>
  <si>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</si>
  <si>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</si>
  <si>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</si>
  <si>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</si>
  <si>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</si>
  <si>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</si>
  <si>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</si>
  <si>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</si>
  <si>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</si>
  <si>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</si>
  <si>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</si>
  <si>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</si>
  <si>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</si>
  <si>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</si>
  <si>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</si>
  <si>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</si>
  <si>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</si>
  <si>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</si>
  <si>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</si>
  <si>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</si>
  <si>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</si>
  <si>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</si>
  <si>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</si>
  <si>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</si>
  <si>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</si>
  <si>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</si>
  <si>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</si>
  <si>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</si>
  <si>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</si>
  <si>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</si>
  <si>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</si>
  <si>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</si>
  <si>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</si>
  <si>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</si>
  <si>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</si>
  <si>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</si>
  <si>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</si>
  <si>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</si>
  <si>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</si>
  <si>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</si>
  <si>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</si>
  <si>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</si>
  <si>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</si>
  <si>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</si>
  <si>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</si>
  <si>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</si>
  <si>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</si>
  <si>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</si>
  <si>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</si>
  <si>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</si>
  <si>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</si>
  <si>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</si>
  <si>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平成24年度</t>
  </si>
  <si>
    <t>平成26年度</t>
  </si>
  <si>
    <t>　　　２　「件数」欄の「実」は、実件数を示す。</t>
  </si>
  <si>
    <t>平成27年度</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</si>
  <si>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</si>
  <si>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</si>
  <si>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</si>
  <si>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　「現年分」は、平成28年４月１日から平成29年３月31日までに終了した課税期間について、平成29年６月30日現在の申告（国・地方公共団体等については平成29年９月30日までの申告を含む。）及び処理（更正、決定等）による課税事績を「申告書及び決議書」に基づいて作成した。</t>
  </si>
  <si>
    <t>　「既往年分」は、平成28年３月31日以前に終了した課税期間について、平成28年７月１日から平成29年６月30日までの間の申告（平成28年７月１日から同年９月30日までの間の国・地方公共団体等に係る申告を除く。）及び処理（更正、決定等）による課税事績を「申告書及び決議書」に基づいて作成した。</t>
  </si>
  <si>
    <t>平成28年度</t>
  </si>
  <si>
    <t>調査対象等：　平成28年度末（平成29年３月31日現在）の届出件数を示している。</t>
  </si>
  <si>
    <t>実件</t>
  </si>
  <si>
    <t>(4)　税務署別課税状況等</t>
  </si>
  <si>
    <t>(4)　税務署別課税状況等（続）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</si>
</sst>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54">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0" fontId="3" fillId="0" borderId="34" xfId="60" applyFont="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0" borderId="34" xfId="60" applyNumberFormat="1" applyFont="1" applyBorder="1" applyAlignment="1">
      <alignment horizontal="right" vertical="center"/>
      <protection/>
    </xf>
    <xf numFmtId="3" fontId="3" fillId="35" borderId="35" xfId="60" applyNumberFormat="1" applyFont="1" applyFill="1" applyBorder="1" applyAlignment="1">
      <alignment horizontal="right" vertical="center"/>
      <protection/>
    </xf>
    <xf numFmtId="0" fontId="3" fillId="0" borderId="36" xfId="60" applyFont="1" applyBorder="1" applyAlignment="1">
      <alignment horizontal="distributed" vertical="center"/>
      <protection/>
    </xf>
    <xf numFmtId="0" fontId="8" fillId="0" borderId="36" xfId="60" applyFont="1" applyBorder="1" applyAlignment="1">
      <alignment horizontal="distributed" vertical="center"/>
      <protection/>
    </xf>
    <xf numFmtId="0" fontId="8" fillId="0" borderId="34" xfId="60" applyFont="1" applyBorder="1" applyAlignment="1">
      <alignment horizontal="right" vertical="center"/>
      <protection/>
    </xf>
    <xf numFmtId="0" fontId="8" fillId="0" borderId="0" xfId="60" applyFont="1" applyAlignment="1">
      <alignment horizontal="left" vertical="top"/>
      <protection/>
    </xf>
    <xf numFmtId="0" fontId="3" fillId="0" borderId="37" xfId="60" applyFont="1" applyBorder="1" applyAlignment="1">
      <alignment horizontal="distributed" vertical="center"/>
      <protection/>
    </xf>
    <xf numFmtId="0" fontId="3" fillId="0" borderId="38"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8"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0" fontId="3" fillId="0" borderId="36" xfId="60" applyFont="1" applyBorder="1" applyAlignment="1">
      <alignment horizontal="distributed" vertical="center" wrapText="1"/>
      <protection/>
    </xf>
    <xf numFmtId="0" fontId="3" fillId="0" borderId="34" xfId="60" applyFont="1" applyBorder="1" applyAlignment="1">
      <alignment horizontal="center" vertical="center"/>
      <protection/>
    </xf>
    <xf numFmtId="3" fontId="3" fillId="0" borderId="34" xfId="60" applyNumberFormat="1" applyFont="1" applyBorder="1" applyAlignment="1">
      <alignment horizontal="center" vertical="center"/>
      <protection/>
    </xf>
    <xf numFmtId="0" fontId="8" fillId="0" borderId="40" xfId="60" applyFont="1" applyBorder="1" applyAlignment="1">
      <alignment horizontal="right" vertical="center"/>
      <protection/>
    </xf>
    <xf numFmtId="0" fontId="3" fillId="0" borderId="41" xfId="60" applyFont="1" applyBorder="1" applyAlignment="1">
      <alignment horizontal="right" vertical="center"/>
      <protection/>
    </xf>
    <xf numFmtId="3" fontId="3" fillId="0" borderId="41" xfId="60" applyNumberFormat="1" applyFont="1" applyBorder="1" applyAlignment="1">
      <alignment horizontal="right"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4"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5"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46" xfId="60" applyNumberFormat="1" applyFont="1" applyFill="1" applyBorder="1" applyAlignment="1">
      <alignment horizontal="right" vertical="center"/>
      <protection/>
    </xf>
    <xf numFmtId="0" fontId="3" fillId="0" borderId="38" xfId="60" applyFont="1" applyBorder="1" applyAlignment="1">
      <alignment horizontal="distributed" vertical="center"/>
      <protection/>
    </xf>
    <xf numFmtId="3" fontId="3" fillId="34" borderId="47" xfId="60" applyNumberFormat="1" applyFont="1" applyFill="1" applyBorder="1" applyAlignment="1">
      <alignment horizontal="right" vertical="center"/>
      <protection/>
    </xf>
    <xf numFmtId="0" fontId="3" fillId="0" borderId="48"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9" xfId="60" applyFont="1" applyBorder="1" applyAlignment="1">
      <alignment horizontal="distributed" vertical="center"/>
      <protection/>
    </xf>
    <xf numFmtId="0" fontId="3" fillId="0" borderId="50" xfId="60" applyFont="1" applyBorder="1" applyAlignment="1">
      <alignment horizontal="distributed" vertical="center"/>
      <protection/>
    </xf>
    <xf numFmtId="0" fontId="3" fillId="0" borderId="51" xfId="60" applyFont="1" applyBorder="1" applyAlignment="1">
      <alignment horizontal="center" vertical="center"/>
      <protection/>
    </xf>
    <xf numFmtId="0" fontId="3" fillId="0" borderId="52" xfId="60" applyFont="1" applyBorder="1" applyAlignment="1">
      <alignment horizontal="distributed" vertical="center" indent="1"/>
      <protection/>
    </xf>
    <xf numFmtId="0" fontId="5" fillId="34" borderId="53" xfId="60" applyFont="1" applyFill="1" applyBorder="1" applyAlignment="1">
      <alignment horizontal="right"/>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center" vertical="center"/>
      <protection/>
    </xf>
    <xf numFmtId="0" fontId="8" fillId="36" borderId="58" xfId="60" applyFont="1" applyFill="1" applyBorder="1" applyAlignment="1">
      <alignment horizontal="distributed" vertical="center"/>
      <protection/>
    </xf>
    <xf numFmtId="0" fontId="8" fillId="36" borderId="59" xfId="60" applyFont="1" applyFill="1" applyBorder="1" applyAlignment="1">
      <alignment horizontal="distributed" vertical="center"/>
      <protection/>
    </xf>
    <xf numFmtId="0" fontId="10" fillId="0" borderId="60" xfId="60" applyFont="1" applyFill="1" applyBorder="1" applyAlignment="1">
      <alignment horizontal="distributed" vertical="center"/>
      <protection/>
    </xf>
    <xf numFmtId="0" fontId="10" fillId="0" borderId="61" xfId="60" applyFont="1" applyFill="1" applyBorder="1" applyAlignment="1">
      <alignment horizontal="center" vertical="center"/>
      <protection/>
    </xf>
    <xf numFmtId="0" fontId="3" fillId="36" borderId="62" xfId="60" applyFont="1" applyFill="1" applyBorder="1" applyAlignment="1">
      <alignment horizontal="distributed" vertical="center"/>
      <protection/>
    </xf>
    <xf numFmtId="0" fontId="3" fillId="36" borderId="63" xfId="60" applyFont="1" applyFill="1" applyBorder="1" applyAlignment="1">
      <alignment horizontal="distributed" vertical="center"/>
      <protection/>
    </xf>
    <xf numFmtId="0" fontId="10" fillId="0" borderId="64" xfId="60" applyFont="1" applyFill="1" applyBorder="1" applyAlignment="1">
      <alignment horizontal="distributed" vertical="center"/>
      <protection/>
    </xf>
    <xf numFmtId="0" fontId="10" fillId="0" borderId="65" xfId="60" applyFont="1" applyFill="1" applyBorder="1" applyAlignment="1">
      <alignment horizontal="center" vertical="center"/>
      <protection/>
    </xf>
    <xf numFmtId="0" fontId="10" fillId="0" borderId="66" xfId="60" applyFont="1" applyFill="1" applyBorder="1" applyAlignment="1">
      <alignment horizontal="distributed" vertical="center"/>
      <protection/>
    </xf>
    <xf numFmtId="0" fontId="10" fillId="0" borderId="67" xfId="60" applyFont="1" applyFill="1" applyBorder="1" applyAlignment="1">
      <alignment horizontal="center" vertical="center"/>
      <protection/>
    </xf>
    <xf numFmtId="3" fontId="3" fillId="34" borderId="68" xfId="60" applyNumberFormat="1" applyFont="1" applyFill="1" applyBorder="1" applyAlignment="1">
      <alignment horizontal="right" vertical="center"/>
      <protection/>
    </xf>
    <xf numFmtId="3" fontId="3" fillId="34" borderId="69"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8" fillId="34" borderId="69" xfId="60" applyNumberFormat="1" applyFont="1" applyFill="1" applyBorder="1" applyAlignment="1">
      <alignment horizontal="right" vertical="center"/>
      <protection/>
    </xf>
    <xf numFmtId="3" fontId="8" fillId="35" borderId="36" xfId="60" applyNumberFormat="1" applyFont="1" applyFill="1" applyBorder="1" applyAlignment="1">
      <alignment horizontal="right" vertical="center"/>
      <protection/>
    </xf>
    <xf numFmtId="3" fontId="8"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5"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4" borderId="74" xfId="60" applyNumberFormat="1" applyFont="1" applyFill="1" applyBorder="1" applyAlignment="1">
      <alignment horizontal="right" vertical="center"/>
      <protection/>
    </xf>
    <xf numFmtId="3" fontId="3" fillId="34" borderId="74" xfId="60" applyNumberFormat="1" applyFont="1" applyFill="1" applyBorder="1" applyAlignment="1">
      <alignment vertical="center"/>
      <protection/>
    </xf>
    <xf numFmtId="3" fontId="3" fillId="34" borderId="69" xfId="60" applyNumberFormat="1" applyFont="1" applyFill="1" applyBorder="1" applyAlignment="1">
      <alignment vertical="center"/>
      <protection/>
    </xf>
    <xf numFmtId="3" fontId="8" fillId="34" borderId="75" xfId="60" applyNumberFormat="1" applyFont="1" applyFill="1" applyBorder="1" applyAlignment="1">
      <alignment horizontal="right" vertical="center"/>
      <protection/>
    </xf>
    <xf numFmtId="3" fontId="8" fillId="35"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3" fillId="34" borderId="78" xfId="60" applyNumberFormat="1" applyFont="1" applyFill="1" applyBorder="1" applyAlignment="1">
      <alignment horizontal="right" vertical="center"/>
      <protection/>
    </xf>
    <xf numFmtId="3" fontId="3" fillId="35"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4" borderId="81" xfId="60" applyNumberFormat="1" applyFont="1" applyFill="1" applyBorder="1" applyAlignment="1">
      <alignment horizontal="right" vertical="center"/>
      <protection/>
    </xf>
    <xf numFmtId="3" fontId="3" fillId="35" borderId="48" xfId="60" applyNumberFormat="1" applyFont="1" applyFill="1" applyBorder="1" applyAlignment="1">
      <alignment horizontal="right" vertical="center"/>
      <protection/>
    </xf>
    <xf numFmtId="3" fontId="3" fillId="35" borderId="82" xfId="60" applyNumberFormat="1" applyFont="1" applyFill="1" applyBorder="1" applyAlignment="1">
      <alignment horizontal="right" vertical="center"/>
      <protection/>
    </xf>
    <xf numFmtId="176" fontId="3" fillId="34" borderId="44"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83"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85" xfId="60" applyNumberFormat="1" applyFont="1" applyFill="1" applyBorder="1" applyAlignment="1">
      <alignment horizontal="right" vertical="center"/>
      <protection/>
    </xf>
    <xf numFmtId="176" fontId="8" fillId="34" borderId="86" xfId="60" applyNumberFormat="1" applyFont="1" applyFill="1" applyBorder="1" applyAlignment="1">
      <alignment horizontal="right" vertical="center"/>
      <protection/>
    </xf>
    <xf numFmtId="176" fontId="8" fillId="35" borderId="87" xfId="60" applyNumberFormat="1" applyFont="1" applyFill="1" applyBorder="1" applyAlignment="1">
      <alignment horizontal="right" vertical="center"/>
      <protection/>
    </xf>
    <xf numFmtId="176" fontId="8" fillId="35" borderId="88" xfId="60" applyNumberFormat="1" applyFont="1" applyFill="1" applyBorder="1" applyAlignment="1">
      <alignment horizontal="right" vertical="center"/>
      <protection/>
    </xf>
    <xf numFmtId="176" fontId="10" fillId="0" borderId="89" xfId="60" applyNumberFormat="1" applyFont="1" applyFill="1" applyBorder="1" applyAlignment="1">
      <alignment horizontal="right" vertical="center"/>
      <protection/>
    </xf>
    <xf numFmtId="176" fontId="10" fillId="0" borderId="90" xfId="60" applyNumberFormat="1" applyFont="1" applyFill="1" applyBorder="1" applyAlignment="1">
      <alignment horizontal="right" vertical="center"/>
      <protection/>
    </xf>
    <xf numFmtId="176" fontId="10"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8" fillId="34" borderId="41" xfId="60" applyNumberFormat="1" applyFont="1" applyFill="1" applyBorder="1" applyAlignment="1">
      <alignment horizontal="right" vertical="center"/>
      <protection/>
    </xf>
    <xf numFmtId="176" fontId="8" fillId="35" borderId="79" xfId="60" applyNumberFormat="1" applyFont="1" applyFill="1" applyBorder="1" applyAlignment="1">
      <alignment horizontal="right" vertical="center"/>
      <protection/>
    </xf>
    <xf numFmtId="176" fontId="8" fillId="35" borderId="95"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4" borderId="83"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5" borderId="97" xfId="60" applyNumberFormat="1" applyFont="1" applyFill="1" applyBorder="1" applyAlignment="1">
      <alignment horizontal="right" vertical="center"/>
      <protection/>
    </xf>
    <xf numFmtId="176" fontId="8" fillId="35" borderId="98" xfId="60" applyNumberFormat="1" applyFont="1" applyFill="1" applyBorder="1" applyAlignment="1">
      <alignment horizontal="right" vertical="center"/>
      <protection/>
    </xf>
    <xf numFmtId="176" fontId="8" fillId="34" borderId="99" xfId="60" applyNumberFormat="1" applyFont="1" applyFill="1" applyBorder="1" applyAlignment="1">
      <alignment horizontal="right" vertical="center"/>
      <protection/>
    </xf>
    <xf numFmtId="176" fontId="8" fillId="34" borderId="98"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34" xfId="60" applyNumberFormat="1" applyFont="1" applyFill="1" applyBorder="1" applyAlignment="1">
      <alignment horizontal="right" vertical="center"/>
      <protection/>
    </xf>
    <xf numFmtId="176" fontId="3" fillId="0" borderId="34" xfId="60" applyNumberFormat="1" applyFont="1" applyFill="1" applyBorder="1" applyAlignment="1">
      <alignment horizontal="right" vertical="center"/>
      <protection/>
    </xf>
    <xf numFmtId="176" fontId="3"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34" borderId="104" xfId="60" applyNumberFormat="1" applyFont="1" applyFill="1" applyBorder="1" applyAlignment="1">
      <alignment horizontal="right" vertical="center"/>
      <protection/>
    </xf>
    <xf numFmtId="176" fontId="3" fillId="35" borderId="105" xfId="60" applyNumberFormat="1" applyFont="1" applyFill="1" applyBorder="1" applyAlignment="1">
      <alignment horizontal="right" vertical="center"/>
      <protection/>
    </xf>
    <xf numFmtId="176" fontId="3" fillId="35" borderId="106" xfId="60" applyNumberFormat="1" applyFont="1" applyFill="1" applyBorder="1" applyAlignment="1">
      <alignment horizontal="right" vertical="center"/>
      <protection/>
    </xf>
    <xf numFmtId="176" fontId="3" fillId="34" borderId="107" xfId="60" applyNumberFormat="1" applyFont="1" applyFill="1" applyBorder="1" applyAlignment="1">
      <alignment horizontal="right" vertical="center"/>
      <protection/>
    </xf>
    <xf numFmtId="176" fontId="3" fillId="34" borderId="106" xfId="60" applyNumberFormat="1" applyFont="1" applyFill="1" applyBorder="1" applyAlignment="1">
      <alignment horizontal="right" vertical="center"/>
      <protection/>
    </xf>
    <xf numFmtId="176" fontId="10" fillId="0" borderId="108" xfId="60" applyNumberFormat="1" applyFont="1" applyFill="1" applyBorder="1" applyAlignment="1">
      <alignment horizontal="right" vertical="center"/>
      <protection/>
    </xf>
    <xf numFmtId="176" fontId="10" fillId="0" borderId="109" xfId="60" applyNumberFormat="1" applyFont="1" applyFill="1" applyBorder="1" applyAlignment="1">
      <alignment horizontal="right" vertical="center"/>
      <protection/>
    </xf>
    <xf numFmtId="176" fontId="10" fillId="0" borderId="110" xfId="60" applyNumberFormat="1" applyFont="1" applyFill="1" applyBorder="1" applyAlignment="1">
      <alignment horizontal="right" vertical="center"/>
      <protection/>
    </xf>
    <xf numFmtId="176" fontId="3" fillId="0" borderId="110" xfId="60" applyNumberFormat="1" applyFont="1" applyFill="1" applyBorder="1" applyAlignment="1">
      <alignment horizontal="right" vertical="center"/>
      <protection/>
    </xf>
    <xf numFmtId="176" fontId="3" fillId="0" borderId="111" xfId="60" applyNumberFormat="1" applyFont="1" applyFill="1" applyBorder="1" applyAlignment="1">
      <alignment horizontal="right" vertical="center"/>
      <protection/>
    </xf>
    <xf numFmtId="176" fontId="3" fillId="0" borderId="112" xfId="60" applyNumberFormat="1" applyFont="1" applyFill="1" applyBorder="1" applyAlignment="1">
      <alignment horizontal="right" vertical="center"/>
      <protection/>
    </xf>
    <xf numFmtId="176" fontId="3" fillId="0" borderId="113" xfId="60" applyNumberFormat="1" applyFont="1" applyFill="1" applyBorder="1" applyAlignment="1">
      <alignment horizontal="right" vertical="center"/>
      <protection/>
    </xf>
    <xf numFmtId="176" fontId="3" fillId="0" borderId="114" xfId="60" applyNumberFormat="1" applyFont="1" applyFill="1" applyBorder="1" applyAlignment="1">
      <alignment horizontal="right" vertical="center"/>
      <protection/>
    </xf>
    <xf numFmtId="176" fontId="3" fillId="0" borderId="115" xfId="60" applyNumberFormat="1" applyFont="1" applyFill="1" applyBorder="1" applyAlignment="1">
      <alignment horizontal="right" vertical="center"/>
      <protection/>
    </xf>
    <xf numFmtId="176" fontId="3" fillId="0" borderId="116"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8" fillId="34" borderId="119" xfId="60" applyNumberFormat="1" applyFont="1" applyFill="1" applyBorder="1" applyAlignment="1">
      <alignment horizontal="right" vertical="center"/>
      <protection/>
    </xf>
    <xf numFmtId="176" fontId="8" fillId="34" borderId="120" xfId="60" applyNumberFormat="1" applyFont="1" applyFill="1" applyBorder="1" applyAlignment="1">
      <alignment horizontal="right" vertical="center"/>
      <protection/>
    </xf>
    <xf numFmtId="176" fontId="8" fillId="34" borderId="121" xfId="60" applyNumberFormat="1" applyFont="1" applyFill="1" applyBorder="1" applyAlignment="1">
      <alignment horizontal="right" vertical="center"/>
      <protection/>
    </xf>
    <xf numFmtId="0" fontId="3" fillId="0" borderId="0" xfId="60" applyFont="1" applyBorder="1" applyAlignment="1">
      <alignment horizontal="right" vertical="top" wrapText="1"/>
      <protection/>
    </xf>
    <xf numFmtId="0" fontId="3" fillId="0" borderId="122" xfId="60" applyFont="1" applyFill="1" applyBorder="1" applyAlignment="1">
      <alignment horizontal="distributed" vertical="center"/>
      <protection/>
    </xf>
    <xf numFmtId="0" fontId="3" fillId="0" borderId="122" xfId="60" applyFont="1" applyFill="1" applyBorder="1" applyAlignment="1">
      <alignment horizontal="right" vertical="center"/>
      <protection/>
    </xf>
    <xf numFmtId="3" fontId="3" fillId="0" borderId="122" xfId="60" applyNumberFormat="1" applyFont="1" applyFill="1" applyBorder="1" applyAlignment="1">
      <alignment horizontal="right" vertical="center"/>
      <protection/>
    </xf>
    <xf numFmtId="0" fontId="10" fillId="0" borderId="123" xfId="60" applyFont="1" applyFill="1" applyBorder="1" applyAlignment="1">
      <alignment horizontal="distributed" vertical="center"/>
      <protection/>
    </xf>
    <xf numFmtId="0" fontId="10" fillId="0" borderId="124" xfId="60" applyFont="1" applyFill="1" applyBorder="1" applyAlignment="1">
      <alignment horizontal="distributed" vertical="center"/>
      <protection/>
    </xf>
    <xf numFmtId="0" fontId="10" fillId="0" borderId="125" xfId="60" applyFont="1" applyFill="1" applyBorder="1" applyAlignment="1">
      <alignment horizontal="distributed" vertical="center"/>
      <protection/>
    </xf>
    <xf numFmtId="0" fontId="11" fillId="0" borderId="60" xfId="60" applyFont="1" applyFill="1" applyBorder="1">
      <alignment/>
      <protection/>
    </xf>
    <xf numFmtId="0" fontId="10" fillId="0" borderId="126" xfId="60" applyFont="1" applyFill="1" applyBorder="1" applyAlignment="1">
      <alignment horizontal="distributed" vertical="center"/>
      <protection/>
    </xf>
    <xf numFmtId="0" fontId="10" fillId="0" borderId="127" xfId="60" applyFont="1" applyFill="1" applyBorder="1" applyAlignment="1">
      <alignment horizontal="distributed" vertical="center"/>
      <protection/>
    </xf>
    <xf numFmtId="0" fontId="10" fillId="0" borderId="128" xfId="60" applyFont="1" applyFill="1" applyBorder="1" applyAlignment="1">
      <alignment horizontal="distributed" vertical="center"/>
      <protection/>
    </xf>
    <xf numFmtId="0" fontId="9" fillId="0" borderId="60" xfId="60" applyFont="1" applyBorder="1">
      <alignment/>
      <protection/>
    </xf>
    <xf numFmtId="0" fontId="10" fillId="0" borderId="129" xfId="60" applyFont="1" applyFill="1" applyBorder="1" applyAlignment="1">
      <alignment horizontal="distributed" vertical="center"/>
      <protection/>
    </xf>
    <xf numFmtId="0" fontId="10" fillId="0" borderId="130" xfId="60" applyFont="1" applyFill="1" applyBorder="1" applyAlignment="1">
      <alignment horizontal="distributed" vertical="center"/>
      <protection/>
    </xf>
    <xf numFmtId="3" fontId="3" fillId="34" borderId="131" xfId="60" applyNumberFormat="1" applyFont="1" applyFill="1" applyBorder="1" applyAlignment="1">
      <alignment vertical="center"/>
      <protection/>
    </xf>
    <xf numFmtId="3" fontId="3" fillId="34" borderId="132" xfId="60" applyNumberFormat="1" applyFont="1" applyFill="1" applyBorder="1" applyAlignment="1">
      <alignment vertical="center"/>
      <protection/>
    </xf>
    <xf numFmtId="3" fontId="3" fillId="34" borderId="133"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134" xfId="60" applyFont="1" applyBorder="1" applyAlignment="1">
      <alignment horizontal="distributed" vertical="center" wrapText="1"/>
      <protection/>
    </xf>
    <xf numFmtId="0" fontId="3" fillId="0" borderId="134" xfId="60" applyFont="1" applyBorder="1" applyAlignment="1">
      <alignment horizontal="distributed" vertical="center"/>
      <protection/>
    </xf>
    <xf numFmtId="0" fontId="3" fillId="0" borderId="135" xfId="60" applyFont="1" applyBorder="1" applyAlignment="1">
      <alignment horizontal="distributed"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8" fillId="0" borderId="138" xfId="60" applyFont="1" applyBorder="1" applyAlignment="1">
      <alignment horizontal="distributed" vertical="center"/>
      <protection/>
    </xf>
    <xf numFmtId="0" fontId="8" fillId="0" borderId="139"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0" xfId="60" applyFont="1" applyBorder="1" applyAlignment="1">
      <alignment horizontal="distributed" vertical="center"/>
      <protection/>
    </xf>
    <xf numFmtId="0" fontId="3" fillId="0" borderId="0" xfId="60" applyFont="1" applyBorder="1" applyAlignment="1">
      <alignment horizontal="justify" vertical="top" wrapText="1"/>
      <protection/>
    </xf>
    <xf numFmtId="0" fontId="3" fillId="0" borderId="0" xfId="60" applyFont="1" applyAlignment="1">
      <alignment horizontal="justify" vertical="top" wrapText="1"/>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50"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51"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22" xfId="60" applyFont="1" applyBorder="1" applyAlignment="1">
      <alignment horizontal="left" vertical="center"/>
      <protection/>
    </xf>
    <xf numFmtId="0" fontId="3" fillId="0" borderId="0" xfId="60" applyFont="1" applyAlignment="1">
      <alignment horizontal="left" vertical="center"/>
      <protection/>
    </xf>
    <xf numFmtId="0" fontId="3" fillId="0" borderId="122" xfId="60" applyFont="1" applyBorder="1" applyAlignment="1">
      <alignment horizontal="left"/>
      <protection/>
    </xf>
    <xf numFmtId="0" fontId="3" fillId="0" borderId="141" xfId="60" applyFont="1" applyBorder="1" applyAlignment="1">
      <alignment horizontal="distributed" vertical="center"/>
      <protection/>
    </xf>
    <xf numFmtId="0" fontId="3" fillId="0" borderId="60" xfId="60" applyFont="1" applyBorder="1" applyAlignment="1">
      <alignment horizontal="distributed" vertical="center"/>
      <protection/>
    </xf>
    <xf numFmtId="0" fontId="3" fillId="0" borderId="152" xfId="60" applyFont="1" applyBorder="1" applyAlignment="1">
      <alignment horizontal="distributed" vertical="center"/>
      <protection/>
    </xf>
    <xf numFmtId="0" fontId="3" fillId="0" borderId="153" xfId="60" applyFont="1" applyBorder="1" applyAlignment="1">
      <alignment horizontal="center" vertical="center"/>
      <protection/>
    </xf>
    <xf numFmtId="0" fontId="3" fillId="0" borderId="154" xfId="60" applyFont="1" applyBorder="1" applyAlignment="1">
      <alignment horizontal="center" vertical="center"/>
      <protection/>
    </xf>
    <xf numFmtId="0" fontId="3" fillId="0" borderId="155" xfId="60" applyFont="1" applyBorder="1" applyAlignment="1">
      <alignment horizontal="center" vertical="center"/>
      <protection/>
    </xf>
    <xf numFmtId="0" fontId="3" fillId="0" borderId="156" xfId="60" applyFont="1" applyBorder="1" applyAlignment="1">
      <alignment horizontal="center" vertical="center"/>
      <protection/>
    </xf>
    <xf numFmtId="0" fontId="3" fillId="0" borderId="157" xfId="60" applyFont="1" applyBorder="1" applyAlignment="1">
      <alignment horizontal="center" vertical="center"/>
      <protection/>
    </xf>
    <xf numFmtId="0" fontId="3" fillId="0" borderId="52" xfId="60" applyFont="1" applyBorder="1" applyAlignment="1">
      <alignment horizontal="distributed" vertical="center" wrapText="1"/>
      <protection/>
    </xf>
    <xf numFmtId="0" fontId="3" fillId="0" borderId="61" xfId="60" applyFont="1" applyBorder="1" applyAlignment="1">
      <alignment horizontal="distributed" vertical="center" wrapText="1"/>
      <protection/>
    </xf>
    <xf numFmtId="0" fontId="3" fillId="0" borderId="158" xfId="60" applyFont="1" applyBorder="1" applyAlignment="1">
      <alignment horizontal="distributed" vertical="center" wrapText="1"/>
      <protection/>
    </xf>
    <xf numFmtId="0" fontId="3" fillId="0" borderId="159" xfId="60" applyFont="1" applyBorder="1" applyAlignment="1">
      <alignment horizontal="center" vertical="center"/>
      <protection/>
    </xf>
    <xf numFmtId="0" fontId="3" fillId="0" borderId="160" xfId="60" applyFont="1" applyBorder="1" applyAlignment="1">
      <alignment horizontal="center" vertical="center"/>
      <protection/>
    </xf>
    <xf numFmtId="0" fontId="3" fillId="0" borderId="154" xfId="60" applyFont="1" applyBorder="1" applyAlignment="1">
      <alignment horizontal="center" vertical="center" wrapText="1"/>
      <protection/>
    </xf>
    <xf numFmtId="0" fontId="3" fillId="0" borderId="161" xfId="60" applyFont="1" applyBorder="1" applyAlignment="1">
      <alignment horizontal="left"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53" xfId="60" applyFont="1" applyBorder="1" applyAlignment="1">
      <alignment horizontal="center" vertical="center" wrapText="1"/>
      <protection/>
    </xf>
    <xf numFmtId="0" fontId="3" fillId="0" borderId="166" xfId="60" applyFont="1" applyBorder="1" applyAlignment="1">
      <alignment horizontal="center" vertical="center"/>
      <protection/>
    </xf>
    <xf numFmtId="0" fontId="3" fillId="0" borderId="167" xfId="60" applyFont="1" applyBorder="1" applyAlignment="1">
      <alignment horizontal="center" vertical="center"/>
      <protection/>
    </xf>
    <xf numFmtId="0" fontId="3" fillId="0" borderId="168" xfId="60" applyFont="1" applyBorder="1" applyAlignment="1">
      <alignment horizontal="distributed" vertical="center" wrapText="1"/>
      <protection/>
    </xf>
    <xf numFmtId="0" fontId="3" fillId="0" borderId="169"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206" t="s">
        <v>242</v>
      </c>
      <c r="B1" s="206"/>
      <c r="C1" s="206"/>
      <c r="D1" s="206"/>
      <c r="E1" s="206"/>
      <c r="F1" s="206"/>
      <c r="G1" s="206"/>
      <c r="H1" s="206"/>
      <c r="I1" s="206"/>
      <c r="J1" s="206"/>
      <c r="K1" s="206"/>
    </row>
    <row r="2" spans="1:11" ht="15">
      <c r="A2" s="39"/>
      <c r="B2" s="39"/>
      <c r="C2" s="39"/>
      <c r="D2" s="39"/>
      <c r="E2" s="39"/>
      <c r="F2" s="39"/>
      <c r="G2" s="39"/>
      <c r="H2" s="39"/>
      <c r="I2" s="39"/>
      <c r="J2" s="39"/>
      <c r="K2" s="39"/>
    </row>
    <row r="3" spans="1:11" ht="12" thickBot="1">
      <c r="A3" s="207" t="s">
        <v>171</v>
      </c>
      <c r="B3" s="207"/>
      <c r="C3" s="207"/>
      <c r="D3" s="207"/>
      <c r="E3" s="207"/>
      <c r="F3" s="207"/>
      <c r="G3" s="207"/>
      <c r="H3" s="207"/>
      <c r="I3" s="207"/>
      <c r="J3" s="207"/>
      <c r="K3" s="207"/>
    </row>
    <row r="4" spans="1:11" ht="24" customHeight="1">
      <c r="A4" s="208" t="s">
        <v>152</v>
      </c>
      <c r="B4" s="209"/>
      <c r="C4" s="212" t="s">
        <v>172</v>
      </c>
      <c r="D4" s="213"/>
      <c r="E4" s="214"/>
      <c r="F4" s="212" t="s">
        <v>173</v>
      </c>
      <c r="G4" s="213"/>
      <c r="H4" s="214"/>
      <c r="I4" s="212" t="s">
        <v>174</v>
      </c>
      <c r="J4" s="213"/>
      <c r="K4" s="215"/>
    </row>
    <row r="5" spans="1:11" ht="24" customHeight="1">
      <c r="A5" s="210"/>
      <c r="B5" s="211"/>
      <c r="C5" s="216" t="s">
        <v>153</v>
      </c>
      <c r="D5" s="217"/>
      <c r="E5" s="40" t="s">
        <v>154</v>
      </c>
      <c r="F5" s="216" t="s">
        <v>153</v>
      </c>
      <c r="G5" s="217"/>
      <c r="H5" s="40" t="s">
        <v>154</v>
      </c>
      <c r="I5" s="216" t="s">
        <v>153</v>
      </c>
      <c r="J5" s="217"/>
      <c r="K5" s="41" t="s">
        <v>154</v>
      </c>
    </row>
    <row r="6" spans="1:11" ht="12" customHeight="1">
      <c r="A6" s="42"/>
      <c r="B6" s="43"/>
      <c r="C6" s="44"/>
      <c r="D6" s="30" t="s">
        <v>155</v>
      </c>
      <c r="E6" s="7" t="s">
        <v>156</v>
      </c>
      <c r="F6" s="44"/>
      <c r="G6" s="30" t="s">
        <v>155</v>
      </c>
      <c r="H6" s="7" t="s">
        <v>156</v>
      </c>
      <c r="I6" s="44"/>
      <c r="J6" s="30" t="s">
        <v>155</v>
      </c>
      <c r="K6" s="45" t="s">
        <v>156</v>
      </c>
    </row>
    <row r="7" spans="1:11" ht="30" customHeight="1">
      <c r="A7" s="195" t="s">
        <v>175</v>
      </c>
      <c r="B7" s="46" t="s">
        <v>176</v>
      </c>
      <c r="C7" s="47"/>
      <c r="D7" s="104">
        <v>30015</v>
      </c>
      <c r="E7" s="48">
        <v>18012962</v>
      </c>
      <c r="F7" s="49"/>
      <c r="G7" s="104">
        <v>79080</v>
      </c>
      <c r="H7" s="48">
        <v>732858513</v>
      </c>
      <c r="I7" s="49"/>
      <c r="J7" s="104">
        <v>109095</v>
      </c>
      <c r="K7" s="50">
        <v>750871475</v>
      </c>
    </row>
    <row r="8" spans="1:11" ht="30" customHeight="1">
      <c r="A8" s="196"/>
      <c r="B8" s="51" t="s">
        <v>177</v>
      </c>
      <c r="C8" s="47"/>
      <c r="D8" s="105">
        <v>48742</v>
      </c>
      <c r="E8" s="106">
        <v>19014599</v>
      </c>
      <c r="F8" s="49"/>
      <c r="G8" s="105">
        <v>32130</v>
      </c>
      <c r="H8" s="106">
        <v>19483022</v>
      </c>
      <c r="I8" s="49"/>
      <c r="J8" s="105">
        <v>80872</v>
      </c>
      <c r="K8" s="107">
        <v>38497621</v>
      </c>
    </row>
    <row r="9" spans="1:11" s="54" customFormat="1" ht="30" customHeight="1">
      <c r="A9" s="196"/>
      <c r="B9" s="52" t="s">
        <v>178</v>
      </c>
      <c r="C9" s="53"/>
      <c r="D9" s="108">
        <v>78757</v>
      </c>
      <c r="E9" s="109">
        <v>37027560</v>
      </c>
      <c r="F9" s="53"/>
      <c r="G9" s="108">
        <v>111210</v>
      </c>
      <c r="H9" s="109">
        <v>752341535</v>
      </c>
      <c r="I9" s="53"/>
      <c r="J9" s="108">
        <v>189967</v>
      </c>
      <c r="K9" s="110">
        <v>789369096</v>
      </c>
    </row>
    <row r="10" spans="1:11" ht="30" customHeight="1">
      <c r="A10" s="197"/>
      <c r="B10" s="55" t="s">
        <v>179</v>
      </c>
      <c r="C10" s="47"/>
      <c r="D10" s="111">
        <v>2062</v>
      </c>
      <c r="E10" s="112">
        <v>1567811</v>
      </c>
      <c r="F10" s="47"/>
      <c r="G10" s="111">
        <v>4826</v>
      </c>
      <c r="H10" s="112">
        <v>38306237</v>
      </c>
      <c r="I10" s="47"/>
      <c r="J10" s="111">
        <v>6888</v>
      </c>
      <c r="K10" s="113">
        <v>39874048</v>
      </c>
    </row>
    <row r="11" spans="1:11" ht="30" customHeight="1">
      <c r="A11" s="198" t="s">
        <v>180</v>
      </c>
      <c r="B11" s="56" t="s">
        <v>181</v>
      </c>
      <c r="C11" s="57"/>
      <c r="D11" s="114">
        <v>5586</v>
      </c>
      <c r="E11" s="58">
        <v>1345736</v>
      </c>
      <c r="F11" s="59"/>
      <c r="G11" s="115">
        <v>5036</v>
      </c>
      <c r="H11" s="58">
        <v>2494949</v>
      </c>
      <c r="I11" s="59"/>
      <c r="J11" s="115">
        <v>10622</v>
      </c>
      <c r="K11" s="60">
        <v>3840685</v>
      </c>
    </row>
    <row r="12" spans="1:11" ht="30" customHeight="1">
      <c r="A12" s="199"/>
      <c r="B12" s="61" t="s">
        <v>182</v>
      </c>
      <c r="C12" s="62"/>
      <c r="D12" s="105">
        <v>1074</v>
      </c>
      <c r="E12" s="106">
        <v>225229</v>
      </c>
      <c r="F12" s="63"/>
      <c r="G12" s="116">
        <v>1008</v>
      </c>
      <c r="H12" s="106">
        <v>3092216</v>
      </c>
      <c r="I12" s="63"/>
      <c r="J12" s="116">
        <v>2082</v>
      </c>
      <c r="K12" s="107">
        <v>3317445</v>
      </c>
    </row>
    <row r="13" spans="1:11" s="54" customFormat="1" ht="30" customHeight="1">
      <c r="A13" s="200" t="s">
        <v>157</v>
      </c>
      <c r="B13" s="201"/>
      <c r="C13" s="64" t="s">
        <v>158</v>
      </c>
      <c r="D13" s="117">
        <v>83270</v>
      </c>
      <c r="E13" s="118">
        <v>36580256</v>
      </c>
      <c r="F13" s="64" t="s">
        <v>158</v>
      </c>
      <c r="G13" s="117">
        <v>117017</v>
      </c>
      <c r="H13" s="118">
        <v>713438031</v>
      </c>
      <c r="I13" s="64" t="s">
        <v>158</v>
      </c>
      <c r="J13" s="117">
        <v>200287</v>
      </c>
      <c r="K13" s="119">
        <v>750018287</v>
      </c>
    </row>
    <row r="14" spans="1:11" ht="30" customHeight="1" thickBot="1">
      <c r="A14" s="202" t="s">
        <v>159</v>
      </c>
      <c r="B14" s="203"/>
      <c r="C14" s="65"/>
      <c r="D14" s="120">
        <v>5291</v>
      </c>
      <c r="E14" s="121">
        <v>229370</v>
      </c>
      <c r="F14" s="66"/>
      <c r="G14" s="120">
        <v>4480</v>
      </c>
      <c r="H14" s="121">
        <v>470690</v>
      </c>
      <c r="I14" s="66"/>
      <c r="J14" s="120">
        <v>9771</v>
      </c>
      <c r="K14" s="122">
        <v>700060</v>
      </c>
    </row>
    <row r="15" spans="1:11" ht="2.25" customHeight="1">
      <c r="A15" s="178"/>
      <c r="B15" s="178"/>
      <c r="C15" s="179"/>
      <c r="D15" s="180"/>
      <c r="E15" s="180"/>
      <c r="F15" s="180"/>
      <c r="G15" s="180"/>
      <c r="H15" s="180"/>
      <c r="I15" s="180"/>
      <c r="J15" s="180"/>
      <c r="K15" s="180"/>
    </row>
    <row r="16" spans="1:11" s="1" customFormat="1" ht="34.5" customHeight="1">
      <c r="A16" s="177" t="s">
        <v>169</v>
      </c>
      <c r="B16" s="204" t="s">
        <v>245</v>
      </c>
      <c r="C16" s="204"/>
      <c r="D16" s="204"/>
      <c r="E16" s="204"/>
      <c r="F16" s="204"/>
      <c r="G16" s="204"/>
      <c r="H16" s="204"/>
      <c r="I16" s="204"/>
      <c r="J16" s="204"/>
      <c r="K16" s="204"/>
    </row>
    <row r="17" spans="2:11" ht="45" customHeight="1">
      <c r="B17" s="205" t="s">
        <v>246</v>
      </c>
      <c r="C17" s="205"/>
      <c r="D17" s="205"/>
      <c r="E17" s="205"/>
      <c r="F17" s="205"/>
      <c r="G17" s="205"/>
      <c r="H17" s="205"/>
      <c r="I17" s="205"/>
      <c r="J17" s="205"/>
      <c r="K17" s="205"/>
    </row>
    <row r="18" ht="14.25" customHeight="1">
      <c r="A18" s="2" t="s">
        <v>170</v>
      </c>
    </row>
    <row r="19" ht="11.25">
      <c r="A19" s="2" t="s">
        <v>240</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160</v>
      </c>
    </row>
    <row r="2" spans="1:8" s="2" customFormat="1" ht="15" customHeight="1">
      <c r="A2" s="208" t="s">
        <v>152</v>
      </c>
      <c r="B2" s="209"/>
      <c r="C2" s="222" t="s">
        <v>172</v>
      </c>
      <c r="D2" s="222"/>
      <c r="E2" s="222" t="s">
        <v>183</v>
      </c>
      <c r="F2" s="222"/>
      <c r="G2" s="223" t="s">
        <v>184</v>
      </c>
      <c r="H2" s="224"/>
    </row>
    <row r="3" spans="1:8" s="2" customFormat="1" ht="15" customHeight="1">
      <c r="A3" s="210"/>
      <c r="B3" s="211"/>
      <c r="C3" s="57" t="s">
        <v>185</v>
      </c>
      <c r="D3" s="40" t="s">
        <v>186</v>
      </c>
      <c r="E3" s="57" t="s">
        <v>185</v>
      </c>
      <c r="F3" s="67" t="s">
        <v>186</v>
      </c>
      <c r="G3" s="57" t="s">
        <v>185</v>
      </c>
      <c r="H3" s="68" t="s">
        <v>186</v>
      </c>
    </row>
    <row r="4" spans="1:8" s="73" customFormat="1" ht="15" customHeight="1">
      <c r="A4" s="69"/>
      <c r="B4" s="40"/>
      <c r="C4" s="70" t="s">
        <v>15</v>
      </c>
      <c r="D4" s="71" t="s">
        <v>16</v>
      </c>
      <c r="E4" s="70" t="s">
        <v>15</v>
      </c>
      <c r="F4" s="71" t="s">
        <v>16</v>
      </c>
      <c r="G4" s="70" t="s">
        <v>15</v>
      </c>
      <c r="H4" s="72" t="s">
        <v>16</v>
      </c>
    </row>
    <row r="5" spans="1:8" s="75" customFormat="1" ht="30" customHeight="1">
      <c r="A5" s="225" t="s">
        <v>238</v>
      </c>
      <c r="B5" s="46" t="s">
        <v>161</v>
      </c>
      <c r="C5" s="74">
        <v>75997</v>
      </c>
      <c r="D5" s="48">
        <v>22203812</v>
      </c>
      <c r="E5" s="74">
        <v>106765</v>
      </c>
      <c r="F5" s="48">
        <v>338647001</v>
      </c>
      <c r="G5" s="74">
        <v>182762</v>
      </c>
      <c r="H5" s="50">
        <v>360850813</v>
      </c>
    </row>
    <row r="6" spans="1:8" s="75" customFormat="1" ht="30" customHeight="1">
      <c r="A6" s="219"/>
      <c r="B6" s="55" t="s">
        <v>3</v>
      </c>
      <c r="C6" s="76">
        <v>2661</v>
      </c>
      <c r="D6" s="77">
        <v>946015</v>
      </c>
      <c r="E6" s="76">
        <v>4467</v>
      </c>
      <c r="F6" s="77">
        <v>24024924</v>
      </c>
      <c r="G6" s="76">
        <v>7128</v>
      </c>
      <c r="H6" s="78">
        <v>24970939</v>
      </c>
    </row>
    <row r="7" spans="1:8" s="75" customFormat="1" ht="30" customHeight="1">
      <c r="A7" s="218" t="s">
        <v>168</v>
      </c>
      <c r="B7" s="79" t="s">
        <v>161</v>
      </c>
      <c r="C7" s="80">
        <v>76038</v>
      </c>
      <c r="D7" s="58">
        <v>22551783</v>
      </c>
      <c r="E7" s="80">
        <v>107000</v>
      </c>
      <c r="F7" s="58">
        <v>353935902</v>
      </c>
      <c r="G7" s="80">
        <v>183038</v>
      </c>
      <c r="H7" s="60">
        <v>376487686</v>
      </c>
    </row>
    <row r="8" spans="1:8" s="75" customFormat="1" ht="30" customHeight="1">
      <c r="A8" s="219"/>
      <c r="B8" s="55" t="s">
        <v>3</v>
      </c>
      <c r="C8" s="76">
        <v>2459</v>
      </c>
      <c r="D8" s="77">
        <v>876644</v>
      </c>
      <c r="E8" s="76">
        <v>4551</v>
      </c>
      <c r="F8" s="77">
        <v>24879163</v>
      </c>
      <c r="G8" s="76">
        <v>7010</v>
      </c>
      <c r="H8" s="78">
        <v>25755807</v>
      </c>
    </row>
    <row r="9" spans="1:8" s="75" customFormat="1" ht="30" customHeight="1">
      <c r="A9" s="218" t="s">
        <v>239</v>
      </c>
      <c r="B9" s="79" t="s">
        <v>161</v>
      </c>
      <c r="C9" s="80">
        <v>81356</v>
      </c>
      <c r="D9" s="58">
        <v>33217122</v>
      </c>
      <c r="E9" s="80">
        <v>108982</v>
      </c>
      <c r="F9" s="58">
        <v>514265631</v>
      </c>
      <c r="G9" s="80">
        <v>190338</v>
      </c>
      <c r="H9" s="60">
        <v>547482754</v>
      </c>
    </row>
    <row r="10" spans="1:8" s="75" customFormat="1" ht="30" customHeight="1">
      <c r="A10" s="219"/>
      <c r="B10" s="55" t="s">
        <v>3</v>
      </c>
      <c r="C10" s="76">
        <v>2588</v>
      </c>
      <c r="D10" s="77">
        <v>1290703</v>
      </c>
      <c r="E10" s="76">
        <v>4731</v>
      </c>
      <c r="F10" s="77">
        <v>35075223</v>
      </c>
      <c r="G10" s="76">
        <v>7319</v>
      </c>
      <c r="H10" s="78">
        <v>36365926</v>
      </c>
    </row>
    <row r="11" spans="1:8" s="75" customFormat="1" ht="30" customHeight="1">
      <c r="A11" s="218" t="s">
        <v>241</v>
      </c>
      <c r="B11" s="79" t="s">
        <v>161</v>
      </c>
      <c r="C11" s="80">
        <v>81292</v>
      </c>
      <c r="D11" s="58">
        <v>37182441</v>
      </c>
      <c r="E11" s="80">
        <v>110232</v>
      </c>
      <c r="F11" s="58">
        <v>597098593</v>
      </c>
      <c r="G11" s="80">
        <v>191524</v>
      </c>
      <c r="H11" s="60">
        <v>634281034</v>
      </c>
    </row>
    <row r="12" spans="1:8" s="75" customFormat="1" ht="30" customHeight="1">
      <c r="A12" s="219"/>
      <c r="B12" s="55" t="s">
        <v>3</v>
      </c>
      <c r="C12" s="76">
        <v>2280</v>
      </c>
      <c r="D12" s="77">
        <v>1510872</v>
      </c>
      <c r="E12" s="76">
        <v>4737</v>
      </c>
      <c r="F12" s="77">
        <v>35901272</v>
      </c>
      <c r="G12" s="76">
        <v>7017</v>
      </c>
      <c r="H12" s="78">
        <v>37412144</v>
      </c>
    </row>
    <row r="13" spans="1:8" s="2" customFormat="1" ht="30" customHeight="1">
      <c r="A13" s="220" t="s">
        <v>247</v>
      </c>
      <c r="B13" s="79" t="s">
        <v>161</v>
      </c>
      <c r="C13" s="80">
        <v>78757</v>
      </c>
      <c r="D13" s="58">
        <v>37027560</v>
      </c>
      <c r="E13" s="80">
        <v>111210</v>
      </c>
      <c r="F13" s="58">
        <v>752341535</v>
      </c>
      <c r="G13" s="80">
        <v>189967</v>
      </c>
      <c r="H13" s="60">
        <v>789369096</v>
      </c>
    </row>
    <row r="14" spans="1:8" s="2" customFormat="1" ht="30" customHeight="1" thickBot="1">
      <c r="A14" s="221"/>
      <c r="B14" s="81" t="s">
        <v>3</v>
      </c>
      <c r="C14" s="123">
        <v>2062</v>
      </c>
      <c r="D14" s="124">
        <v>1567811</v>
      </c>
      <c r="E14" s="123">
        <v>4826</v>
      </c>
      <c r="F14" s="124">
        <v>38306237</v>
      </c>
      <c r="G14" s="123">
        <v>6888</v>
      </c>
      <c r="H14" s="125">
        <v>39874048</v>
      </c>
    </row>
    <row r="15" spans="5:7" s="2" customFormat="1" ht="11.25">
      <c r="E15" s="82"/>
      <c r="G15" s="82"/>
    </row>
    <row r="16" spans="5:7" s="2" customFormat="1" ht="11.25">
      <c r="E16" s="82"/>
      <c r="G16" s="82"/>
    </row>
    <row r="17" spans="5:7" s="2" customFormat="1" ht="11.25">
      <c r="E17" s="82"/>
      <c r="G17" s="82"/>
    </row>
    <row r="18" spans="5:7" s="2" customFormat="1" ht="11.25">
      <c r="E18" s="82"/>
      <c r="G18" s="82"/>
    </row>
    <row r="19" spans="5:7" s="2" customFormat="1" ht="11.25">
      <c r="E19" s="82"/>
      <c r="G19" s="82"/>
    </row>
    <row r="20" spans="5:7" s="2" customFormat="1" ht="11.25">
      <c r="E20" s="82"/>
      <c r="G20" s="82"/>
    </row>
    <row r="21" spans="5:7" s="2" customFormat="1" ht="11.25">
      <c r="E21" s="82"/>
      <c r="G21" s="82"/>
    </row>
    <row r="22" spans="5:7" s="2" customFormat="1" ht="11.25">
      <c r="E22" s="82"/>
      <c r="G22" s="82"/>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162</v>
      </c>
    </row>
    <row r="2" spans="1:4" s="1" customFormat="1" ht="19.5" customHeight="1">
      <c r="A2" s="83" t="s">
        <v>163</v>
      </c>
      <c r="B2" s="84" t="s">
        <v>164</v>
      </c>
      <c r="C2" s="85" t="s">
        <v>165</v>
      </c>
      <c r="D2" s="86" t="s">
        <v>166</v>
      </c>
    </row>
    <row r="3" spans="1:4" s="73" customFormat="1" ht="15" customHeight="1">
      <c r="A3" s="87" t="s">
        <v>15</v>
      </c>
      <c r="B3" s="88" t="s">
        <v>15</v>
      </c>
      <c r="C3" s="89" t="s">
        <v>15</v>
      </c>
      <c r="D3" s="90" t="s">
        <v>15</v>
      </c>
    </row>
    <row r="4" spans="1:9" s="1" customFormat="1" ht="30" customHeight="1" thickBot="1">
      <c r="A4" s="191">
        <v>198751</v>
      </c>
      <c r="B4" s="192">
        <v>5090</v>
      </c>
      <c r="C4" s="193">
        <v>533</v>
      </c>
      <c r="D4" s="194">
        <v>204374</v>
      </c>
      <c r="E4" s="91"/>
      <c r="G4" s="91"/>
      <c r="I4" s="91"/>
    </row>
    <row r="5" spans="1:4" s="1" customFormat="1" ht="15" customHeight="1">
      <c r="A5" s="226" t="s">
        <v>248</v>
      </c>
      <c r="B5" s="226"/>
      <c r="C5" s="226"/>
      <c r="D5" s="226"/>
    </row>
    <row r="6" spans="1:4" s="1" customFormat="1" ht="15" customHeight="1">
      <c r="A6" s="227" t="s">
        <v>167</v>
      </c>
      <c r="B6" s="227"/>
      <c r="C6" s="227"/>
      <c r="D6" s="22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(H28)</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250</v>
      </c>
      <c r="B1" s="1"/>
      <c r="C1" s="1"/>
      <c r="D1" s="1"/>
      <c r="E1" s="1"/>
      <c r="F1" s="1"/>
      <c r="G1" s="1"/>
      <c r="H1" s="2"/>
      <c r="I1" s="2"/>
      <c r="J1" s="2"/>
      <c r="K1" s="2"/>
      <c r="L1" s="2"/>
      <c r="M1" s="2"/>
      <c r="N1" s="2"/>
    </row>
    <row r="2" spans="1:14" ht="14.25" thickBot="1">
      <c r="A2" s="227" t="s">
        <v>0</v>
      </c>
      <c r="B2" s="227"/>
      <c r="C2" s="227"/>
      <c r="D2" s="227"/>
      <c r="E2" s="227"/>
      <c r="F2" s="227"/>
      <c r="G2" s="227"/>
      <c r="H2" s="2"/>
      <c r="I2" s="2"/>
      <c r="J2" s="2"/>
      <c r="K2" s="2"/>
      <c r="L2" s="2"/>
      <c r="M2" s="2"/>
      <c r="N2" s="2"/>
    </row>
    <row r="3" spans="1:14" ht="19.5" customHeight="1">
      <c r="A3" s="229" t="s">
        <v>1</v>
      </c>
      <c r="B3" s="232" t="s">
        <v>2</v>
      </c>
      <c r="C3" s="232"/>
      <c r="D3" s="232"/>
      <c r="E3" s="232"/>
      <c r="F3" s="232"/>
      <c r="G3" s="232"/>
      <c r="H3" s="233" t="s">
        <v>3</v>
      </c>
      <c r="I3" s="234"/>
      <c r="J3" s="242" t="s">
        <v>4</v>
      </c>
      <c r="K3" s="234"/>
      <c r="L3" s="233" t="s">
        <v>5</v>
      </c>
      <c r="M3" s="234"/>
      <c r="N3" s="237" t="s">
        <v>6</v>
      </c>
    </row>
    <row r="4" spans="1:14" ht="17.25" customHeight="1">
      <c r="A4" s="230"/>
      <c r="B4" s="240" t="s">
        <v>7</v>
      </c>
      <c r="C4" s="240"/>
      <c r="D4" s="235" t="s">
        <v>8</v>
      </c>
      <c r="E4" s="241"/>
      <c r="F4" s="235" t="s">
        <v>9</v>
      </c>
      <c r="G4" s="241"/>
      <c r="H4" s="235"/>
      <c r="I4" s="236"/>
      <c r="J4" s="235"/>
      <c r="K4" s="236"/>
      <c r="L4" s="235"/>
      <c r="M4" s="236"/>
      <c r="N4" s="238"/>
    </row>
    <row r="5" spans="1:14" s="4" customFormat="1" ht="28.5" customHeight="1">
      <c r="A5" s="231"/>
      <c r="B5" s="33" t="s">
        <v>10</v>
      </c>
      <c r="C5" s="34" t="s">
        <v>11</v>
      </c>
      <c r="D5" s="33" t="s">
        <v>10</v>
      </c>
      <c r="E5" s="34" t="s">
        <v>11</v>
      </c>
      <c r="F5" s="33" t="s">
        <v>10</v>
      </c>
      <c r="G5" s="38" t="s">
        <v>12</v>
      </c>
      <c r="H5" s="33" t="s">
        <v>91</v>
      </c>
      <c r="I5" s="37" t="s">
        <v>13</v>
      </c>
      <c r="J5" s="33" t="s">
        <v>91</v>
      </c>
      <c r="K5" s="37" t="s">
        <v>14</v>
      </c>
      <c r="L5" s="33" t="s">
        <v>91</v>
      </c>
      <c r="M5" s="35" t="s">
        <v>92</v>
      </c>
      <c r="N5" s="239"/>
    </row>
    <row r="6" spans="1:14" s="10" customFormat="1" ht="10.5">
      <c r="A6" s="5"/>
      <c r="B6" s="6" t="s">
        <v>15</v>
      </c>
      <c r="C6" s="7" t="s">
        <v>16</v>
      </c>
      <c r="D6" s="6" t="s">
        <v>15</v>
      </c>
      <c r="E6" s="7" t="s">
        <v>16</v>
      </c>
      <c r="F6" s="6" t="s">
        <v>15</v>
      </c>
      <c r="G6" s="7" t="s">
        <v>16</v>
      </c>
      <c r="H6" s="6" t="s">
        <v>15</v>
      </c>
      <c r="I6" s="8" t="s">
        <v>16</v>
      </c>
      <c r="J6" s="6" t="s">
        <v>15</v>
      </c>
      <c r="K6" s="8" t="s">
        <v>16</v>
      </c>
      <c r="L6" s="6" t="s">
        <v>249</v>
      </c>
      <c r="M6" s="8" t="s">
        <v>16</v>
      </c>
      <c r="N6" s="9"/>
    </row>
    <row r="7" spans="1:14" ht="15.75" customHeight="1">
      <c r="A7" s="11" t="s">
        <v>18</v>
      </c>
      <c r="B7" s="126">
        <f>_xlfn.COMPOUNDVALUE(1)</f>
        <v>980</v>
      </c>
      <c r="C7" s="127">
        <v>568598</v>
      </c>
      <c r="D7" s="126">
        <f>_xlfn.COMPOUNDVALUE(2)</f>
        <v>1549</v>
      </c>
      <c r="E7" s="127">
        <v>723067</v>
      </c>
      <c r="F7" s="126">
        <f>_xlfn.COMPOUNDVALUE(3)</f>
        <v>2529</v>
      </c>
      <c r="G7" s="127">
        <v>1291664</v>
      </c>
      <c r="H7" s="126">
        <f>_xlfn.COMPOUNDVALUE(4)</f>
        <v>43</v>
      </c>
      <c r="I7" s="128">
        <v>18703</v>
      </c>
      <c r="J7" s="126">
        <v>213</v>
      </c>
      <c r="K7" s="128">
        <v>25558</v>
      </c>
      <c r="L7" s="126">
        <v>2611</v>
      </c>
      <c r="M7" s="128">
        <v>1298520</v>
      </c>
      <c r="N7" s="12" t="s">
        <v>96</v>
      </c>
    </row>
    <row r="8" spans="1:14" ht="15.75" customHeight="1">
      <c r="A8" s="13" t="s">
        <v>19</v>
      </c>
      <c r="B8" s="129">
        <f>_xlfn.COMPOUNDVALUE(5)</f>
        <v>635</v>
      </c>
      <c r="C8" s="130">
        <v>376139</v>
      </c>
      <c r="D8" s="129">
        <f>_xlfn.COMPOUNDVALUE(6)</f>
        <v>1159</v>
      </c>
      <c r="E8" s="130">
        <v>428412</v>
      </c>
      <c r="F8" s="129">
        <f>_xlfn.COMPOUNDVALUE(7)</f>
        <v>1794</v>
      </c>
      <c r="G8" s="130">
        <v>804551</v>
      </c>
      <c r="H8" s="129">
        <f>_xlfn.COMPOUNDVALUE(8)</f>
        <v>24</v>
      </c>
      <c r="I8" s="131">
        <v>5998</v>
      </c>
      <c r="J8" s="129">
        <v>108</v>
      </c>
      <c r="K8" s="131">
        <v>23714</v>
      </c>
      <c r="L8" s="129">
        <v>1856</v>
      </c>
      <c r="M8" s="131">
        <v>822267</v>
      </c>
      <c r="N8" s="14" t="s">
        <v>97</v>
      </c>
    </row>
    <row r="9" spans="1:14" ht="15.75" customHeight="1">
      <c r="A9" s="13" t="s">
        <v>20</v>
      </c>
      <c r="B9" s="129">
        <f>_xlfn.COMPOUNDVALUE(9)</f>
        <v>990</v>
      </c>
      <c r="C9" s="130">
        <v>646170</v>
      </c>
      <c r="D9" s="129">
        <f>_xlfn.COMPOUNDVALUE(10)</f>
        <v>1501</v>
      </c>
      <c r="E9" s="130">
        <v>584691</v>
      </c>
      <c r="F9" s="129">
        <f>_xlfn.COMPOUNDVALUE(11)</f>
        <v>2491</v>
      </c>
      <c r="G9" s="130">
        <v>1230861</v>
      </c>
      <c r="H9" s="129">
        <f>_xlfn.COMPOUNDVALUE(12)</f>
        <v>50</v>
      </c>
      <c r="I9" s="131">
        <v>21753</v>
      </c>
      <c r="J9" s="129">
        <v>140</v>
      </c>
      <c r="K9" s="131">
        <v>18984</v>
      </c>
      <c r="L9" s="129">
        <v>2587</v>
      </c>
      <c r="M9" s="131">
        <v>1228092</v>
      </c>
      <c r="N9" s="14" t="s">
        <v>98</v>
      </c>
    </row>
    <row r="10" spans="1:14" ht="15.75" customHeight="1">
      <c r="A10" s="13" t="s">
        <v>21</v>
      </c>
      <c r="B10" s="129">
        <f>_xlfn.COMPOUNDVALUE(13)</f>
        <v>340</v>
      </c>
      <c r="C10" s="130">
        <v>228124</v>
      </c>
      <c r="D10" s="129">
        <f>_xlfn.COMPOUNDVALUE(14)</f>
        <v>632</v>
      </c>
      <c r="E10" s="130">
        <v>228769</v>
      </c>
      <c r="F10" s="129">
        <f>_xlfn.COMPOUNDVALUE(15)</f>
        <v>972</v>
      </c>
      <c r="G10" s="130">
        <v>456893</v>
      </c>
      <c r="H10" s="129">
        <f>_xlfn.COMPOUNDVALUE(16)</f>
        <v>17</v>
      </c>
      <c r="I10" s="131">
        <v>5736</v>
      </c>
      <c r="J10" s="129">
        <v>78</v>
      </c>
      <c r="K10" s="131">
        <v>12563</v>
      </c>
      <c r="L10" s="129">
        <v>1023</v>
      </c>
      <c r="M10" s="131">
        <v>463719</v>
      </c>
      <c r="N10" s="14" t="s">
        <v>99</v>
      </c>
    </row>
    <row r="11" spans="1:14" ht="15.75" customHeight="1">
      <c r="A11" s="13" t="s">
        <v>22</v>
      </c>
      <c r="B11" s="129">
        <f>_xlfn.COMPOUNDVALUE(17)</f>
        <v>595</v>
      </c>
      <c r="C11" s="130">
        <v>328353</v>
      </c>
      <c r="D11" s="129">
        <f>_xlfn.COMPOUNDVALUE(18)</f>
        <v>1129</v>
      </c>
      <c r="E11" s="130">
        <v>394097</v>
      </c>
      <c r="F11" s="129">
        <f>_xlfn.COMPOUNDVALUE(19)</f>
        <v>1724</v>
      </c>
      <c r="G11" s="130">
        <v>722450</v>
      </c>
      <c r="H11" s="129">
        <f>_xlfn.COMPOUNDVALUE(20)</f>
        <v>30</v>
      </c>
      <c r="I11" s="131">
        <v>10314</v>
      </c>
      <c r="J11" s="129">
        <v>126</v>
      </c>
      <c r="K11" s="131">
        <v>31792</v>
      </c>
      <c r="L11" s="129">
        <v>1815</v>
      </c>
      <c r="M11" s="131">
        <v>743928</v>
      </c>
      <c r="N11" s="14" t="s">
        <v>100</v>
      </c>
    </row>
    <row r="12" spans="1:14" ht="15.75" customHeight="1">
      <c r="A12" s="13" t="s">
        <v>23</v>
      </c>
      <c r="B12" s="129">
        <f>_xlfn.COMPOUNDVALUE(21)</f>
        <v>912</v>
      </c>
      <c r="C12" s="130">
        <v>629478</v>
      </c>
      <c r="D12" s="129">
        <f>_xlfn.COMPOUNDVALUE(22)</f>
        <v>1940</v>
      </c>
      <c r="E12" s="130">
        <v>855948</v>
      </c>
      <c r="F12" s="129">
        <f>_xlfn.COMPOUNDVALUE(23)</f>
        <v>2852</v>
      </c>
      <c r="G12" s="130">
        <v>1485426</v>
      </c>
      <c r="H12" s="129">
        <f>_xlfn.COMPOUNDVALUE(24)</f>
        <v>74</v>
      </c>
      <c r="I12" s="131">
        <v>43771</v>
      </c>
      <c r="J12" s="129">
        <v>123</v>
      </c>
      <c r="K12" s="131">
        <v>16627</v>
      </c>
      <c r="L12" s="129">
        <v>2971</v>
      </c>
      <c r="M12" s="131">
        <v>1458282</v>
      </c>
      <c r="N12" s="14" t="s">
        <v>101</v>
      </c>
    </row>
    <row r="13" spans="1:14" ht="15.75" customHeight="1">
      <c r="A13" s="13" t="s">
        <v>24</v>
      </c>
      <c r="B13" s="129">
        <f>_xlfn.COMPOUNDVALUE(25)</f>
        <v>283</v>
      </c>
      <c r="C13" s="130">
        <v>171992</v>
      </c>
      <c r="D13" s="129">
        <f>_xlfn.COMPOUNDVALUE(26)</f>
        <v>645</v>
      </c>
      <c r="E13" s="130">
        <v>230591</v>
      </c>
      <c r="F13" s="129">
        <f>_xlfn.COMPOUNDVALUE(27)</f>
        <v>928</v>
      </c>
      <c r="G13" s="130">
        <v>402584</v>
      </c>
      <c r="H13" s="129">
        <f>_xlfn.COMPOUNDVALUE(28)</f>
        <v>20</v>
      </c>
      <c r="I13" s="131">
        <v>4679</v>
      </c>
      <c r="J13" s="129">
        <v>30</v>
      </c>
      <c r="K13" s="131">
        <v>7253</v>
      </c>
      <c r="L13" s="129">
        <v>963</v>
      </c>
      <c r="M13" s="131">
        <v>405158</v>
      </c>
      <c r="N13" s="14" t="s">
        <v>24</v>
      </c>
    </row>
    <row r="14" spans="1:14" s="17" customFormat="1" ht="15.75" customHeight="1">
      <c r="A14" s="15" t="s">
        <v>25</v>
      </c>
      <c r="B14" s="132">
        <v>4735</v>
      </c>
      <c r="C14" s="133">
        <v>2948853</v>
      </c>
      <c r="D14" s="132">
        <v>8555</v>
      </c>
      <c r="E14" s="133">
        <v>3445574</v>
      </c>
      <c r="F14" s="132">
        <v>13290</v>
      </c>
      <c r="G14" s="133">
        <v>6394428</v>
      </c>
      <c r="H14" s="132">
        <v>258</v>
      </c>
      <c r="I14" s="134">
        <v>110954</v>
      </c>
      <c r="J14" s="132">
        <v>818</v>
      </c>
      <c r="K14" s="134">
        <v>136493</v>
      </c>
      <c r="L14" s="132">
        <v>13826</v>
      </c>
      <c r="M14" s="134">
        <v>6419967</v>
      </c>
      <c r="N14" s="16" t="s">
        <v>95</v>
      </c>
    </row>
    <row r="15" spans="1:15" s="20" customFormat="1" ht="15.75" customHeight="1">
      <c r="A15" s="182"/>
      <c r="B15" s="181"/>
      <c r="C15" s="185"/>
      <c r="D15" s="181"/>
      <c r="E15" s="185"/>
      <c r="F15" s="181"/>
      <c r="G15" s="185"/>
      <c r="H15" s="187"/>
      <c r="I15" s="186"/>
      <c r="J15" s="181"/>
      <c r="K15" s="185"/>
      <c r="L15" s="187"/>
      <c r="M15" s="186"/>
      <c r="N15" s="183"/>
      <c r="O15" s="184"/>
    </row>
    <row r="16" spans="1:14" ht="15.75" customHeight="1">
      <c r="A16" s="11" t="s">
        <v>26</v>
      </c>
      <c r="B16" s="126">
        <f>_xlfn.COMPOUNDVALUE(29)</f>
        <v>1579</v>
      </c>
      <c r="C16" s="127">
        <v>1001486</v>
      </c>
      <c r="D16" s="126">
        <f>_xlfn.COMPOUNDVALUE(30)</f>
        <v>2181</v>
      </c>
      <c r="E16" s="127">
        <v>899862</v>
      </c>
      <c r="F16" s="126">
        <f>_xlfn.COMPOUNDVALUE(31)</f>
        <v>3760</v>
      </c>
      <c r="G16" s="127">
        <v>1901347</v>
      </c>
      <c r="H16" s="126">
        <f>_xlfn.COMPOUNDVALUE(32)</f>
        <v>98</v>
      </c>
      <c r="I16" s="128">
        <v>67761</v>
      </c>
      <c r="J16" s="126">
        <v>370</v>
      </c>
      <c r="K16" s="128">
        <v>50265</v>
      </c>
      <c r="L16" s="126">
        <v>4006</v>
      </c>
      <c r="M16" s="128">
        <v>1883851</v>
      </c>
      <c r="N16" s="24" t="s">
        <v>102</v>
      </c>
    </row>
    <row r="17" spans="1:14" ht="15.75" customHeight="1">
      <c r="A17" s="13" t="s">
        <v>27</v>
      </c>
      <c r="B17" s="129">
        <f>_xlfn.COMPOUNDVALUE(33)</f>
        <v>351</v>
      </c>
      <c r="C17" s="130">
        <v>235984</v>
      </c>
      <c r="D17" s="129">
        <f>_xlfn.COMPOUNDVALUE(34)</f>
        <v>556</v>
      </c>
      <c r="E17" s="130">
        <v>218972</v>
      </c>
      <c r="F17" s="129">
        <f>_xlfn.COMPOUNDVALUE(35)</f>
        <v>907</v>
      </c>
      <c r="G17" s="130">
        <v>454956</v>
      </c>
      <c r="H17" s="129">
        <f>_xlfn.COMPOUNDVALUE(36)</f>
        <v>23</v>
      </c>
      <c r="I17" s="131">
        <v>17346</v>
      </c>
      <c r="J17" s="129">
        <v>75</v>
      </c>
      <c r="K17" s="131">
        <v>12180</v>
      </c>
      <c r="L17" s="129">
        <v>957</v>
      </c>
      <c r="M17" s="131">
        <v>449791</v>
      </c>
      <c r="N17" s="14" t="s">
        <v>103</v>
      </c>
    </row>
    <row r="18" spans="1:14" ht="15.75" customHeight="1">
      <c r="A18" s="13" t="s">
        <v>28</v>
      </c>
      <c r="B18" s="129">
        <f>_xlfn.COMPOUNDVALUE(37)</f>
        <v>381</v>
      </c>
      <c r="C18" s="130">
        <v>297254</v>
      </c>
      <c r="D18" s="129">
        <f>_xlfn.COMPOUNDVALUE(38)</f>
        <v>440</v>
      </c>
      <c r="E18" s="130">
        <v>160283</v>
      </c>
      <c r="F18" s="129">
        <f>_xlfn.COMPOUNDVALUE(39)</f>
        <v>821</v>
      </c>
      <c r="G18" s="130">
        <v>457537</v>
      </c>
      <c r="H18" s="129">
        <f>_xlfn.COMPOUNDVALUE(40)</f>
        <v>20</v>
      </c>
      <c r="I18" s="131">
        <v>52139</v>
      </c>
      <c r="J18" s="129">
        <v>119</v>
      </c>
      <c r="K18" s="131">
        <v>24032</v>
      </c>
      <c r="L18" s="129">
        <v>863</v>
      </c>
      <c r="M18" s="131">
        <v>429430</v>
      </c>
      <c r="N18" s="14" t="s">
        <v>104</v>
      </c>
    </row>
    <row r="19" spans="1:14" ht="15.75" customHeight="1">
      <c r="A19" s="13" t="s">
        <v>29</v>
      </c>
      <c r="B19" s="129">
        <f>_xlfn.COMPOUNDVALUE(41)</f>
        <v>508</v>
      </c>
      <c r="C19" s="130">
        <v>279892</v>
      </c>
      <c r="D19" s="129">
        <f>_xlfn.COMPOUNDVALUE(42)</f>
        <v>643</v>
      </c>
      <c r="E19" s="130">
        <v>254639</v>
      </c>
      <c r="F19" s="129">
        <f>_xlfn.COMPOUNDVALUE(43)</f>
        <v>1151</v>
      </c>
      <c r="G19" s="130">
        <v>534531</v>
      </c>
      <c r="H19" s="129">
        <f>_xlfn.COMPOUNDVALUE(44)</f>
        <v>57</v>
      </c>
      <c r="I19" s="131">
        <v>27639</v>
      </c>
      <c r="J19" s="129">
        <v>117</v>
      </c>
      <c r="K19" s="131">
        <v>11263</v>
      </c>
      <c r="L19" s="129">
        <v>1228</v>
      </c>
      <c r="M19" s="131">
        <v>518155</v>
      </c>
      <c r="N19" s="14" t="s">
        <v>105</v>
      </c>
    </row>
    <row r="20" spans="1:14" ht="15.75" customHeight="1">
      <c r="A20" s="13" t="s">
        <v>30</v>
      </c>
      <c r="B20" s="129">
        <f>_xlfn.COMPOUNDVALUE(45)</f>
        <v>626</v>
      </c>
      <c r="C20" s="130">
        <v>427569</v>
      </c>
      <c r="D20" s="129">
        <f>_xlfn.COMPOUNDVALUE(46)</f>
        <v>758</v>
      </c>
      <c r="E20" s="130">
        <v>300006</v>
      </c>
      <c r="F20" s="129">
        <f>_xlfn.COMPOUNDVALUE(47)</f>
        <v>1384</v>
      </c>
      <c r="G20" s="130">
        <v>727575</v>
      </c>
      <c r="H20" s="129">
        <f>_xlfn.COMPOUNDVALUE(48)</f>
        <v>52</v>
      </c>
      <c r="I20" s="131">
        <v>17936</v>
      </c>
      <c r="J20" s="129">
        <v>97</v>
      </c>
      <c r="K20" s="131">
        <v>-814</v>
      </c>
      <c r="L20" s="129">
        <v>1453</v>
      </c>
      <c r="M20" s="131">
        <v>708824</v>
      </c>
      <c r="N20" s="14" t="s">
        <v>106</v>
      </c>
    </row>
    <row r="21" spans="1:14" ht="15.75" customHeight="1">
      <c r="A21" s="13" t="s">
        <v>31</v>
      </c>
      <c r="B21" s="129">
        <f>_xlfn.COMPOUNDVALUE(49)</f>
        <v>366</v>
      </c>
      <c r="C21" s="130">
        <v>211793</v>
      </c>
      <c r="D21" s="129">
        <f>_xlfn.COMPOUNDVALUE(50)</f>
        <v>324</v>
      </c>
      <c r="E21" s="130">
        <v>129077</v>
      </c>
      <c r="F21" s="129">
        <f>_xlfn.COMPOUNDVALUE(51)</f>
        <v>690</v>
      </c>
      <c r="G21" s="130">
        <v>340870</v>
      </c>
      <c r="H21" s="129">
        <f>_xlfn.COMPOUNDVALUE(52)</f>
        <v>34</v>
      </c>
      <c r="I21" s="131">
        <v>14214</v>
      </c>
      <c r="J21" s="129">
        <v>35</v>
      </c>
      <c r="K21" s="131">
        <v>3455</v>
      </c>
      <c r="L21" s="129">
        <v>734</v>
      </c>
      <c r="M21" s="131">
        <v>330111</v>
      </c>
      <c r="N21" s="14" t="s">
        <v>107</v>
      </c>
    </row>
    <row r="22" spans="1:14" ht="15.75" customHeight="1">
      <c r="A22" s="13" t="s">
        <v>32</v>
      </c>
      <c r="B22" s="129">
        <f>_xlfn.COMPOUNDVALUE(53)</f>
        <v>465</v>
      </c>
      <c r="C22" s="130">
        <v>249211</v>
      </c>
      <c r="D22" s="129">
        <f>_xlfn.COMPOUNDVALUE(54)</f>
        <v>605</v>
      </c>
      <c r="E22" s="130">
        <v>229861</v>
      </c>
      <c r="F22" s="129">
        <f>_xlfn.COMPOUNDVALUE(55)</f>
        <v>1070</v>
      </c>
      <c r="G22" s="130">
        <v>479071</v>
      </c>
      <c r="H22" s="129">
        <f>_xlfn.COMPOUNDVALUE(56)</f>
        <v>49</v>
      </c>
      <c r="I22" s="131">
        <v>30274</v>
      </c>
      <c r="J22" s="129">
        <v>93</v>
      </c>
      <c r="K22" s="131">
        <v>13985</v>
      </c>
      <c r="L22" s="129">
        <v>1141</v>
      </c>
      <c r="M22" s="131">
        <v>462782</v>
      </c>
      <c r="N22" s="14" t="s">
        <v>108</v>
      </c>
    </row>
    <row r="23" spans="1:14" ht="15.75" customHeight="1">
      <c r="A23" s="13" t="s">
        <v>33</v>
      </c>
      <c r="B23" s="129">
        <f>_xlfn.COMPOUNDVALUE(57)</f>
        <v>252</v>
      </c>
      <c r="C23" s="130">
        <v>176643</v>
      </c>
      <c r="D23" s="129">
        <f>_xlfn.COMPOUNDVALUE(58)</f>
        <v>399</v>
      </c>
      <c r="E23" s="130">
        <v>156764</v>
      </c>
      <c r="F23" s="129">
        <f>_xlfn.COMPOUNDVALUE(59)</f>
        <v>651</v>
      </c>
      <c r="G23" s="130">
        <v>333407</v>
      </c>
      <c r="H23" s="129">
        <f>_xlfn.COMPOUNDVALUE(60)</f>
        <v>25</v>
      </c>
      <c r="I23" s="131">
        <v>62379</v>
      </c>
      <c r="J23" s="129">
        <v>91</v>
      </c>
      <c r="K23" s="131">
        <v>30686</v>
      </c>
      <c r="L23" s="129">
        <v>719</v>
      </c>
      <c r="M23" s="131">
        <v>301714</v>
      </c>
      <c r="N23" s="14" t="s">
        <v>109</v>
      </c>
    </row>
    <row r="24" spans="1:14" ht="15.75" customHeight="1">
      <c r="A24" s="13" t="s">
        <v>34</v>
      </c>
      <c r="B24" s="129">
        <f>_xlfn.COMPOUNDVALUE(61)</f>
        <v>319</v>
      </c>
      <c r="C24" s="130">
        <v>224037</v>
      </c>
      <c r="D24" s="129">
        <f>_xlfn.COMPOUNDVALUE(62)</f>
        <v>407</v>
      </c>
      <c r="E24" s="130">
        <v>149756</v>
      </c>
      <c r="F24" s="129">
        <f>_xlfn.COMPOUNDVALUE(63)</f>
        <v>726</v>
      </c>
      <c r="G24" s="130">
        <v>373793</v>
      </c>
      <c r="H24" s="129">
        <f>_xlfn.COMPOUNDVALUE(64)</f>
        <v>35</v>
      </c>
      <c r="I24" s="131">
        <v>7321</v>
      </c>
      <c r="J24" s="129">
        <v>26</v>
      </c>
      <c r="K24" s="131">
        <v>5452</v>
      </c>
      <c r="L24" s="129">
        <v>769</v>
      </c>
      <c r="M24" s="131">
        <v>371924</v>
      </c>
      <c r="N24" s="14" t="s">
        <v>110</v>
      </c>
    </row>
    <row r="25" spans="1:14" s="17" customFormat="1" ht="15.75" customHeight="1">
      <c r="A25" s="15" t="s">
        <v>35</v>
      </c>
      <c r="B25" s="132">
        <v>4847</v>
      </c>
      <c r="C25" s="133">
        <v>3103868</v>
      </c>
      <c r="D25" s="132">
        <v>6313</v>
      </c>
      <c r="E25" s="133">
        <v>2499219</v>
      </c>
      <c r="F25" s="132">
        <v>11160</v>
      </c>
      <c r="G25" s="133">
        <v>5603087</v>
      </c>
      <c r="H25" s="132">
        <v>393</v>
      </c>
      <c r="I25" s="134">
        <v>297009</v>
      </c>
      <c r="J25" s="132">
        <v>1023</v>
      </c>
      <c r="K25" s="134">
        <v>150504</v>
      </c>
      <c r="L25" s="132">
        <v>11870</v>
      </c>
      <c r="M25" s="134">
        <v>5456582</v>
      </c>
      <c r="N25" s="16" t="s">
        <v>111</v>
      </c>
    </row>
    <row r="26" spans="1:15" s="20" customFormat="1" ht="15.75" customHeight="1">
      <c r="A26" s="23"/>
      <c r="B26" s="187"/>
      <c r="C26" s="185"/>
      <c r="D26" s="181"/>
      <c r="E26" s="189"/>
      <c r="F26" s="187"/>
      <c r="G26" s="181"/>
      <c r="H26" s="187"/>
      <c r="I26" s="181"/>
      <c r="J26" s="187"/>
      <c r="K26" s="185"/>
      <c r="L26" s="181"/>
      <c r="M26" s="185"/>
      <c r="N26" s="183"/>
      <c r="O26" s="184"/>
    </row>
    <row r="27" spans="1:14" s="17" customFormat="1" ht="15.75" customHeight="1">
      <c r="A27" s="11" t="s">
        <v>36</v>
      </c>
      <c r="B27" s="126">
        <f>_xlfn.COMPOUNDVALUE(65)</f>
        <v>1750</v>
      </c>
      <c r="C27" s="127">
        <v>1206689</v>
      </c>
      <c r="D27" s="126">
        <f>_xlfn.COMPOUNDVALUE(66)</f>
        <v>2128</v>
      </c>
      <c r="E27" s="127">
        <v>972236</v>
      </c>
      <c r="F27" s="126">
        <f>_xlfn.COMPOUNDVALUE(67)</f>
        <v>3878</v>
      </c>
      <c r="G27" s="127">
        <v>2178926</v>
      </c>
      <c r="H27" s="126">
        <f>_xlfn.COMPOUNDVALUE(68)</f>
        <v>120</v>
      </c>
      <c r="I27" s="128">
        <v>172944</v>
      </c>
      <c r="J27" s="126">
        <v>473</v>
      </c>
      <c r="K27" s="128">
        <v>108442</v>
      </c>
      <c r="L27" s="126">
        <v>4195</v>
      </c>
      <c r="M27" s="128">
        <v>2114424</v>
      </c>
      <c r="N27" s="24" t="s">
        <v>112</v>
      </c>
    </row>
    <row r="28" spans="1:14" s="17" customFormat="1" ht="15.75" customHeight="1">
      <c r="A28" s="13" t="s">
        <v>37</v>
      </c>
      <c r="B28" s="129">
        <f>_xlfn.COMPOUNDVALUE(69)</f>
        <v>841</v>
      </c>
      <c r="C28" s="130">
        <v>580534</v>
      </c>
      <c r="D28" s="129">
        <f>_xlfn.COMPOUNDVALUE(70)</f>
        <v>1240</v>
      </c>
      <c r="E28" s="130">
        <v>622117</v>
      </c>
      <c r="F28" s="129">
        <f>_xlfn.COMPOUNDVALUE(71)</f>
        <v>2081</v>
      </c>
      <c r="G28" s="130">
        <v>1202651</v>
      </c>
      <c r="H28" s="129">
        <f>_xlfn.COMPOUNDVALUE(72)</f>
        <v>45</v>
      </c>
      <c r="I28" s="131">
        <v>66856</v>
      </c>
      <c r="J28" s="129">
        <v>186</v>
      </c>
      <c r="K28" s="131">
        <v>45656</v>
      </c>
      <c r="L28" s="129">
        <v>2217</v>
      </c>
      <c r="M28" s="131">
        <v>1181451</v>
      </c>
      <c r="N28" s="14" t="s">
        <v>113</v>
      </c>
    </row>
    <row r="29" spans="1:14" s="17" customFormat="1" ht="15.75" customHeight="1">
      <c r="A29" s="13" t="s">
        <v>38</v>
      </c>
      <c r="B29" s="129">
        <f>_xlfn.COMPOUNDVALUE(73)</f>
        <v>937</v>
      </c>
      <c r="C29" s="130">
        <v>514719</v>
      </c>
      <c r="D29" s="129">
        <f>_xlfn.COMPOUNDVALUE(74)</f>
        <v>1507</v>
      </c>
      <c r="E29" s="130">
        <v>599075</v>
      </c>
      <c r="F29" s="129">
        <f>_xlfn.COMPOUNDVALUE(75)</f>
        <v>2444</v>
      </c>
      <c r="G29" s="130">
        <v>1113794</v>
      </c>
      <c r="H29" s="129">
        <f>_xlfn.COMPOUNDVALUE(76)</f>
        <v>49</v>
      </c>
      <c r="I29" s="131">
        <v>104151</v>
      </c>
      <c r="J29" s="129">
        <v>255</v>
      </c>
      <c r="K29" s="131">
        <v>42572</v>
      </c>
      <c r="L29" s="129">
        <v>2619</v>
      </c>
      <c r="M29" s="131">
        <v>1052214</v>
      </c>
      <c r="N29" s="14" t="s">
        <v>114</v>
      </c>
    </row>
    <row r="30" spans="1:14" s="17" customFormat="1" ht="15.75" customHeight="1">
      <c r="A30" s="13" t="s">
        <v>39</v>
      </c>
      <c r="B30" s="129">
        <f>_xlfn.COMPOUNDVALUE(77)</f>
        <v>913</v>
      </c>
      <c r="C30" s="130">
        <v>646392</v>
      </c>
      <c r="D30" s="129">
        <f>_xlfn.COMPOUNDVALUE(78)</f>
        <v>1513</v>
      </c>
      <c r="E30" s="130">
        <v>614983</v>
      </c>
      <c r="F30" s="129">
        <f>_xlfn.COMPOUNDVALUE(79)</f>
        <v>2426</v>
      </c>
      <c r="G30" s="130">
        <v>1261375</v>
      </c>
      <c r="H30" s="129">
        <f>_xlfn.COMPOUNDVALUE(80)</f>
        <v>59</v>
      </c>
      <c r="I30" s="131">
        <v>71359</v>
      </c>
      <c r="J30" s="129">
        <v>295</v>
      </c>
      <c r="K30" s="131">
        <v>50291</v>
      </c>
      <c r="L30" s="129">
        <v>2602</v>
      </c>
      <c r="M30" s="131">
        <v>1240307</v>
      </c>
      <c r="N30" s="14" t="s">
        <v>115</v>
      </c>
    </row>
    <row r="31" spans="1:14" s="17" customFormat="1" ht="15.75" customHeight="1">
      <c r="A31" s="13" t="s">
        <v>40</v>
      </c>
      <c r="B31" s="129">
        <f>_xlfn.COMPOUNDVALUE(81)</f>
        <v>562</v>
      </c>
      <c r="C31" s="130">
        <v>288552</v>
      </c>
      <c r="D31" s="129">
        <f>_xlfn.COMPOUNDVALUE(82)</f>
        <v>799</v>
      </c>
      <c r="E31" s="130">
        <v>292986</v>
      </c>
      <c r="F31" s="129">
        <f>_xlfn.COMPOUNDVALUE(83)</f>
        <v>1361</v>
      </c>
      <c r="G31" s="130">
        <v>581538</v>
      </c>
      <c r="H31" s="129">
        <f>_xlfn.COMPOUNDVALUE(84)</f>
        <v>36</v>
      </c>
      <c r="I31" s="131">
        <v>34228</v>
      </c>
      <c r="J31" s="129">
        <v>163</v>
      </c>
      <c r="K31" s="131">
        <v>22520</v>
      </c>
      <c r="L31" s="129">
        <v>1458</v>
      </c>
      <c r="M31" s="131">
        <v>569830</v>
      </c>
      <c r="N31" s="14" t="s">
        <v>116</v>
      </c>
    </row>
    <row r="32" spans="1:14" s="17" customFormat="1" ht="15.75" customHeight="1">
      <c r="A32" s="13" t="s">
        <v>41</v>
      </c>
      <c r="B32" s="129">
        <f>_xlfn.COMPOUNDVALUE(85)</f>
        <v>824</v>
      </c>
      <c r="C32" s="130">
        <v>447875</v>
      </c>
      <c r="D32" s="129">
        <f>_xlfn.COMPOUNDVALUE(86)</f>
        <v>1282</v>
      </c>
      <c r="E32" s="130">
        <v>481813</v>
      </c>
      <c r="F32" s="129">
        <f>_xlfn.COMPOUNDVALUE(87)</f>
        <v>2106</v>
      </c>
      <c r="G32" s="130">
        <v>929688</v>
      </c>
      <c r="H32" s="129">
        <f>_xlfn.COMPOUNDVALUE(88)</f>
        <v>78</v>
      </c>
      <c r="I32" s="131">
        <v>53289</v>
      </c>
      <c r="J32" s="129">
        <v>171</v>
      </c>
      <c r="K32" s="131">
        <v>30540</v>
      </c>
      <c r="L32" s="129">
        <v>2238</v>
      </c>
      <c r="M32" s="131">
        <v>906940</v>
      </c>
      <c r="N32" s="14" t="s">
        <v>117</v>
      </c>
    </row>
    <row r="33" spans="1:14" s="17" customFormat="1" ht="15.75" customHeight="1">
      <c r="A33" s="13" t="s">
        <v>42</v>
      </c>
      <c r="B33" s="129">
        <f>_xlfn.COMPOUNDVALUE(89)</f>
        <v>385</v>
      </c>
      <c r="C33" s="130">
        <v>278428</v>
      </c>
      <c r="D33" s="129">
        <f>_xlfn.COMPOUNDVALUE(90)</f>
        <v>514</v>
      </c>
      <c r="E33" s="130">
        <v>200531</v>
      </c>
      <c r="F33" s="129">
        <f>_xlfn.COMPOUNDVALUE(91)</f>
        <v>899</v>
      </c>
      <c r="G33" s="130">
        <v>478959</v>
      </c>
      <c r="H33" s="129">
        <f>_xlfn.COMPOUNDVALUE(92)</f>
        <v>26</v>
      </c>
      <c r="I33" s="131">
        <v>28283</v>
      </c>
      <c r="J33" s="129">
        <v>76</v>
      </c>
      <c r="K33" s="131">
        <v>4616</v>
      </c>
      <c r="L33" s="129">
        <v>936</v>
      </c>
      <c r="M33" s="131">
        <v>455292</v>
      </c>
      <c r="N33" s="14" t="s">
        <v>118</v>
      </c>
    </row>
    <row r="34" spans="1:14" s="17" customFormat="1" ht="15.75" customHeight="1">
      <c r="A34" s="13" t="s">
        <v>43</v>
      </c>
      <c r="B34" s="129">
        <f>_xlfn.COMPOUNDVALUE(93)</f>
        <v>618</v>
      </c>
      <c r="C34" s="130">
        <v>328467</v>
      </c>
      <c r="D34" s="129">
        <f>_xlfn.COMPOUNDVALUE(94)</f>
        <v>875</v>
      </c>
      <c r="E34" s="130">
        <v>324636</v>
      </c>
      <c r="F34" s="129">
        <f>_xlfn.COMPOUNDVALUE(95)</f>
        <v>1493</v>
      </c>
      <c r="G34" s="130">
        <v>653103</v>
      </c>
      <c r="H34" s="129">
        <f>_xlfn.COMPOUNDVALUE(96)</f>
        <v>76</v>
      </c>
      <c r="I34" s="131">
        <v>43864</v>
      </c>
      <c r="J34" s="129">
        <v>70</v>
      </c>
      <c r="K34" s="131">
        <v>9847</v>
      </c>
      <c r="L34" s="129">
        <v>1592</v>
      </c>
      <c r="M34" s="131">
        <v>619086</v>
      </c>
      <c r="N34" s="14" t="s">
        <v>119</v>
      </c>
    </row>
    <row r="35" spans="1:14" s="17" customFormat="1" ht="15.75" customHeight="1">
      <c r="A35" s="13" t="s">
        <v>44</v>
      </c>
      <c r="B35" s="129">
        <f>_xlfn.COMPOUNDVALUE(97)</f>
        <v>309</v>
      </c>
      <c r="C35" s="130">
        <v>189554</v>
      </c>
      <c r="D35" s="129">
        <f>_xlfn.COMPOUNDVALUE(98)</f>
        <v>413</v>
      </c>
      <c r="E35" s="130">
        <v>149219</v>
      </c>
      <c r="F35" s="129">
        <f>_xlfn.COMPOUNDVALUE(99)</f>
        <v>722</v>
      </c>
      <c r="G35" s="130">
        <v>338773</v>
      </c>
      <c r="H35" s="129">
        <f>_xlfn.COMPOUNDVALUE(100)</f>
        <v>26</v>
      </c>
      <c r="I35" s="131">
        <v>7206</v>
      </c>
      <c r="J35" s="129">
        <v>79</v>
      </c>
      <c r="K35" s="131">
        <v>19284</v>
      </c>
      <c r="L35" s="129">
        <v>768</v>
      </c>
      <c r="M35" s="131">
        <v>350851</v>
      </c>
      <c r="N35" s="14" t="s">
        <v>120</v>
      </c>
    </row>
    <row r="36" spans="1:14" s="17" customFormat="1" ht="15.75" customHeight="1">
      <c r="A36" s="13" t="s">
        <v>45</v>
      </c>
      <c r="B36" s="129">
        <f>_xlfn.COMPOUNDVALUE(101)</f>
        <v>450</v>
      </c>
      <c r="C36" s="130">
        <v>277460</v>
      </c>
      <c r="D36" s="129">
        <f>_xlfn.COMPOUNDVALUE(102)</f>
        <v>630</v>
      </c>
      <c r="E36" s="130">
        <v>229840</v>
      </c>
      <c r="F36" s="129">
        <f>_xlfn.COMPOUNDVALUE(103)</f>
        <v>1080</v>
      </c>
      <c r="G36" s="130">
        <v>507301</v>
      </c>
      <c r="H36" s="129">
        <f>_xlfn.COMPOUNDVALUE(104)</f>
        <v>36</v>
      </c>
      <c r="I36" s="131">
        <v>23617</v>
      </c>
      <c r="J36" s="129">
        <v>68</v>
      </c>
      <c r="K36" s="131">
        <v>9177</v>
      </c>
      <c r="L36" s="129">
        <v>1136</v>
      </c>
      <c r="M36" s="131">
        <v>492860</v>
      </c>
      <c r="N36" s="14" t="s">
        <v>121</v>
      </c>
    </row>
    <row r="37" spans="1:14" s="17" customFormat="1" ht="15.75" customHeight="1">
      <c r="A37" s="15" t="s">
        <v>46</v>
      </c>
      <c r="B37" s="132">
        <v>7589</v>
      </c>
      <c r="C37" s="133">
        <v>4758670</v>
      </c>
      <c r="D37" s="132">
        <v>10901</v>
      </c>
      <c r="E37" s="133">
        <v>4487436</v>
      </c>
      <c r="F37" s="132">
        <v>18490</v>
      </c>
      <c r="G37" s="133">
        <v>9246106</v>
      </c>
      <c r="H37" s="132">
        <v>551</v>
      </c>
      <c r="I37" s="134">
        <v>605797</v>
      </c>
      <c r="J37" s="132">
        <v>1836</v>
      </c>
      <c r="K37" s="134">
        <v>342945</v>
      </c>
      <c r="L37" s="132">
        <v>19761</v>
      </c>
      <c r="M37" s="134">
        <v>8983255</v>
      </c>
      <c r="N37" s="16" t="s">
        <v>122</v>
      </c>
    </row>
    <row r="38" spans="1:14" s="17" customFormat="1" ht="15.75" customHeight="1">
      <c r="A38" s="102"/>
      <c r="B38" s="135"/>
      <c r="C38" s="136"/>
      <c r="D38" s="135"/>
      <c r="E38" s="136"/>
      <c r="F38" s="137"/>
      <c r="G38" s="136"/>
      <c r="H38" s="137"/>
      <c r="I38" s="136"/>
      <c r="J38" s="137"/>
      <c r="K38" s="136"/>
      <c r="L38" s="137"/>
      <c r="M38" s="136"/>
      <c r="N38" s="103"/>
    </row>
    <row r="39" spans="1:14" s="17" customFormat="1" ht="15.75" customHeight="1">
      <c r="A39" s="11" t="s">
        <v>47</v>
      </c>
      <c r="B39" s="126">
        <f>_xlfn.COMPOUNDVALUE(105)</f>
        <v>694</v>
      </c>
      <c r="C39" s="127">
        <v>376726</v>
      </c>
      <c r="D39" s="126">
        <f>_xlfn.COMPOUNDVALUE(106)</f>
        <v>937</v>
      </c>
      <c r="E39" s="127">
        <v>398820</v>
      </c>
      <c r="F39" s="126">
        <f>_xlfn.COMPOUNDVALUE(107)</f>
        <v>1631</v>
      </c>
      <c r="G39" s="127">
        <v>775546</v>
      </c>
      <c r="H39" s="126">
        <f>_xlfn.COMPOUNDVALUE(108)</f>
        <v>28</v>
      </c>
      <c r="I39" s="128">
        <v>21852</v>
      </c>
      <c r="J39" s="126">
        <v>132</v>
      </c>
      <c r="K39" s="128">
        <v>15796</v>
      </c>
      <c r="L39" s="126">
        <v>1702</v>
      </c>
      <c r="M39" s="128">
        <v>769490</v>
      </c>
      <c r="N39" s="12" t="s">
        <v>123</v>
      </c>
    </row>
    <row r="40" spans="1:14" s="17" customFormat="1" ht="15.75" customHeight="1">
      <c r="A40" s="13" t="s">
        <v>48</v>
      </c>
      <c r="B40" s="129">
        <f>_xlfn.COMPOUNDVALUE(109)</f>
        <v>415</v>
      </c>
      <c r="C40" s="130">
        <v>204690</v>
      </c>
      <c r="D40" s="129">
        <f>_xlfn.COMPOUNDVALUE(110)</f>
        <v>1142</v>
      </c>
      <c r="E40" s="130">
        <v>430092</v>
      </c>
      <c r="F40" s="129">
        <f>_xlfn.COMPOUNDVALUE(111)</f>
        <v>1557</v>
      </c>
      <c r="G40" s="130">
        <v>634782</v>
      </c>
      <c r="H40" s="129">
        <f>_xlfn.COMPOUNDVALUE(112)</f>
        <v>23</v>
      </c>
      <c r="I40" s="131">
        <v>12318</v>
      </c>
      <c r="J40" s="129">
        <v>98</v>
      </c>
      <c r="K40" s="131">
        <v>12028</v>
      </c>
      <c r="L40" s="129">
        <v>1611</v>
      </c>
      <c r="M40" s="131">
        <v>634492</v>
      </c>
      <c r="N40" s="14" t="s">
        <v>124</v>
      </c>
    </row>
    <row r="41" spans="1:14" s="17" customFormat="1" ht="15.75" customHeight="1">
      <c r="A41" s="13" t="s">
        <v>49</v>
      </c>
      <c r="B41" s="129">
        <f>_xlfn.COMPOUNDVALUE(113)</f>
        <v>328</v>
      </c>
      <c r="C41" s="130">
        <v>201904</v>
      </c>
      <c r="D41" s="129">
        <f>_xlfn.COMPOUNDVALUE(114)</f>
        <v>605</v>
      </c>
      <c r="E41" s="130">
        <v>216210</v>
      </c>
      <c r="F41" s="129">
        <f>_xlfn.COMPOUNDVALUE(115)</f>
        <v>933</v>
      </c>
      <c r="G41" s="130">
        <v>418114</v>
      </c>
      <c r="H41" s="129">
        <f>_xlfn.COMPOUNDVALUE(116)</f>
        <v>23</v>
      </c>
      <c r="I41" s="131">
        <v>6825</v>
      </c>
      <c r="J41" s="129">
        <v>77</v>
      </c>
      <c r="K41" s="131">
        <v>7850</v>
      </c>
      <c r="L41" s="129">
        <v>972</v>
      </c>
      <c r="M41" s="131">
        <v>419139</v>
      </c>
      <c r="N41" s="14" t="s">
        <v>125</v>
      </c>
    </row>
    <row r="42" spans="1:14" s="17" customFormat="1" ht="15.75" customHeight="1">
      <c r="A42" s="13" t="s">
        <v>50</v>
      </c>
      <c r="B42" s="129">
        <f>_xlfn.COMPOUNDVALUE(117)</f>
        <v>338</v>
      </c>
      <c r="C42" s="130">
        <v>153288</v>
      </c>
      <c r="D42" s="129">
        <f>_xlfn.COMPOUNDVALUE(118)</f>
        <v>557</v>
      </c>
      <c r="E42" s="130">
        <v>192110</v>
      </c>
      <c r="F42" s="129">
        <f>_xlfn.COMPOUNDVALUE(119)</f>
        <v>895</v>
      </c>
      <c r="G42" s="130">
        <v>345398</v>
      </c>
      <c r="H42" s="129">
        <f>_xlfn.COMPOUNDVALUE(120)</f>
        <v>16</v>
      </c>
      <c r="I42" s="131">
        <v>9075</v>
      </c>
      <c r="J42" s="129">
        <v>42</v>
      </c>
      <c r="K42" s="131">
        <v>3873</v>
      </c>
      <c r="L42" s="129">
        <v>922</v>
      </c>
      <c r="M42" s="131">
        <v>340196</v>
      </c>
      <c r="N42" s="14" t="s">
        <v>126</v>
      </c>
    </row>
    <row r="43" spans="1:14" s="17" customFormat="1" ht="15.75" customHeight="1">
      <c r="A43" s="13" t="s">
        <v>51</v>
      </c>
      <c r="B43" s="129">
        <f>_xlfn.COMPOUNDVALUE(121)</f>
        <v>425</v>
      </c>
      <c r="C43" s="130">
        <v>221609</v>
      </c>
      <c r="D43" s="129">
        <f>_xlfn.COMPOUNDVALUE(122)</f>
        <v>743</v>
      </c>
      <c r="E43" s="130">
        <v>272318</v>
      </c>
      <c r="F43" s="129">
        <f>_xlfn.COMPOUNDVALUE(123)</f>
        <v>1168</v>
      </c>
      <c r="G43" s="130">
        <v>493927</v>
      </c>
      <c r="H43" s="129">
        <f>_xlfn.COMPOUNDVALUE(124)</f>
        <v>27</v>
      </c>
      <c r="I43" s="131">
        <v>7918</v>
      </c>
      <c r="J43" s="129">
        <v>96</v>
      </c>
      <c r="K43" s="131">
        <v>17721</v>
      </c>
      <c r="L43" s="129">
        <v>1238</v>
      </c>
      <c r="M43" s="131">
        <v>503729</v>
      </c>
      <c r="N43" s="14" t="s">
        <v>127</v>
      </c>
    </row>
    <row r="44" spans="1:14" s="17" customFormat="1" ht="15.75" customHeight="1">
      <c r="A44" s="13" t="s">
        <v>52</v>
      </c>
      <c r="B44" s="129">
        <f>_xlfn.COMPOUNDVALUE(125)</f>
        <v>341</v>
      </c>
      <c r="C44" s="130">
        <v>223886</v>
      </c>
      <c r="D44" s="129">
        <f>_xlfn.COMPOUNDVALUE(126)</f>
        <v>613</v>
      </c>
      <c r="E44" s="130">
        <v>211681</v>
      </c>
      <c r="F44" s="129">
        <f>_xlfn.COMPOUNDVALUE(127)</f>
        <v>954</v>
      </c>
      <c r="G44" s="130">
        <v>435567</v>
      </c>
      <c r="H44" s="129">
        <f>_xlfn.COMPOUNDVALUE(128)</f>
        <v>16</v>
      </c>
      <c r="I44" s="131">
        <v>8580</v>
      </c>
      <c r="J44" s="129">
        <v>41</v>
      </c>
      <c r="K44" s="131">
        <v>6269</v>
      </c>
      <c r="L44" s="129">
        <v>981</v>
      </c>
      <c r="M44" s="131">
        <v>433256</v>
      </c>
      <c r="N44" s="14" t="s">
        <v>128</v>
      </c>
    </row>
    <row r="45" spans="1:14" s="17" customFormat="1" ht="15.75" customHeight="1">
      <c r="A45" s="13" t="s">
        <v>53</v>
      </c>
      <c r="B45" s="129">
        <f>_xlfn.COMPOUNDVALUE(129)</f>
        <v>297</v>
      </c>
      <c r="C45" s="130">
        <v>149881</v>
      </c>
      <c r="D45" s="129">
        <f>_xlfn.COMPOUNDVALUE(130)</f>
        <v>429</v>
      </c>
      <c r="E45" s="130">
        <v>149825</v>
      </c>
      <c r="F45" s="129">
        <f>_xlfn.COMPOUNDVALUE(131)</f>
        <v>726</v>
      </c>
      <c r="G45" s="130">
        <v>299706</v>
      </c>
      <c r="H45" s="129">
        <f>_xlfn.COMPOUNDVALUE(132)</f>
        <v>18</v>
      </c>
      <c r="I45" s="131">
        <v>2624</v>
      </c>
      <c r="J45" s="129">
        <v>20</v>
      </c>
      <c r="K45" s="131">
        <v>1587</v>
      </c>
      <c r="L45" s="129">
        <v>747</v>
      </c>
      <c r="M45" s="131">
        <v>298668</v>
      </c>
      <c r="N45" s="14" t="s">
        <v>129</v>
      </c>
    </row>
    <row r="46" spans="1:14" s="17" customFormat="1" ht="15.75" customHeight="1">
      <c r="A46" s="13" t="s">
        <v>54</v>
      </c>
      <c r="B46" s="129">
        <f>_xlfn.COMPOUNDVALUE(133)</f>
        <v>428</v>
      </c>
      <c r="C46" s="130">
        <v>209325</v>
      </c>
      <c r="D46" s="129">
        <f>_xlfn.COMPOUNDVALUE(134)</f>
        <v>849</v>
      </c>
      <c r="E46" s="130">
        <v>313858</v>
      </c>
      <c r="F46" s="129">
        <f>_xlfn.COMPOUNDVALUE(135)</f>
        <v>1277</v>
      </c>
      <c r="G46" s="130">
        <v>523183</v>
      </c>
      <c r="H46" s="129">
        <f>_xlfn.COMPOUNDVALUE(136)</f>
        <v>24</v>
      </c>
      <c r="I46" s="131">
        <v>7502</v>
      </c>
      <c r="J46" s="129">
        <v>52</v>
      </c>
      <c r="K46" s="131">
        <v>13862</v>
      </c>
      <c r="L46" s="129">
        <v>1326</v>
      </c>
      <c r="M46" s="131">
        <v>529543</v>
      </c>
      <c r="N46" s="14" t="s">
        <v>130</v>
      </c>
    </row>
    <row r="47" spans="1:14" s="17" customFormat="1" ht="15.75" customHeight="1">
      <c r="A47" s="15" t="s">
        <v>55</v>
      </c>
      <c r="B47" s="132">
        <v>3266</v>
      </c>
      <c r="C47" s="133">
        <v>1741308</v>
      </c>
      <c r="D47" s="132">
        <v>5875</v>
      </c>
      <c r="E47" s="133">
        <v>2184914</v>
      </c>
      <c r="F47" s="132">
        <v>9141</v>
      </c>
      <c r="G47" s="133">
        <v>3926222</v>
      </c>
      <c r="H47" s="132">
        <v>175</v>
      </c>
      <c r="I47" s="134">
        <v>76694</v>
      </c>
      <c r="J47" s="132">
        <v>558</v>
      </c>
      <c r="K47" s="134">
        <v>78986</v>
      </c>
      <c r="L47" s="132">
        <v>9499</v>
      </c>
      <c r="M47" s="134">
        <v>3928514</v>
      </c>
      <c r="N47" s="16" t="s">
        <v>131</v>
      </c>
    </row>
    <row r="48" spans="1:15" s="17" customFormat="1" ht="15.75" customHeight="1">
      <c r="A48" s="23"/>
      <c r="B48" s="187"/>
      <c r="C48" s="185"/>
      <c r="D48" s="181"/>
      <c r="E48" s="185"/>
      <c r="F48" s="190"/>
      <c r="G48" s="181"/>
      <c r="H48" s="187"/>
      <c r="I48" s="189"/>
      <c r="J48" s="187"/>
      <c r="K48" s="185"/>
      <c r="L48" s="181"/>
      <c r="M48" s="185"/>
      <c r="N48" s="183"/>
      <c r="O48" s="188"/>
    </row>
    <row r="49" spans="1:14" s="17" customFormat="1" ht="15.75" customHeight="1">
      <c r="A49" s="11" t="s">
        <v>56</v>
      </c>
      <c r="B49" s="126">
        <f>_xlfn.COMPOUNDVALUE(137)</f>
        <v>1051</v>
      </c>
      <c r="C49" s="127">
        <v>612027</v>
      </c>
      <c r="D49" s="126">
        <f>_xlfn.COMPOUNDVALUE(138)</f>
        <v>2087</v>
      </c>
      <c r="E49" s="127">
        <v>799531</v>
      </c>
      <c r="F49" s="126">
        <f>_xlfn.COMPOUNDVALUE(139)</f>
        <v>3138</v>
      </c>
      <c r="G49" s="127">
        <v>1411558</v>
      </c>
      <c r="H49" s="126">
        <f>_xlfn.COMPOUNDVALUE(140)</f>
        <v>44</v>
      </c>
      <c r="I49" s="128">
        <v>26433</v>
      </c>
      <c r="J49" s="126">
        <v>320</v>
      </c>
      <c r="K49" s="128">
        <v>65014</v>
      </c>
      <c r="L49" s="126">
        <v>3300</v>
      </c>
      <c r="M49" s="128">
        <v>1450139</v>
      </c>
      <c r="N49" s="24" t="s">
        <v>132</v>
      </c>
    </row>
    <row r="50" spans="1:14" s="17" customFormat="1" ht="15.75" customHeight="1">
      <c r="A50" s="13" t="s">
        <v>57</v>
      </c>
      <c r="B50" s="129">
        <f>_xlfn.COMPOUNDVALUE(141)</f>
        <v>621</v>
      </c>
      <c r="C50" s="130">
        <v>360156</v>
      </c>
      <c r="D50" s="129">
        <f>_xlfn.COMPOUNDVALUE(142)</f>
        <v>976</v>
      </c>
      <c r="E50" s="130">
        <v>365760</v>
      </c>
      <c r="F50" s="129">
        <f>_xlfn.COMPOUNDVALUE(143)</f>
        <v>1597</v>
      </c>
      <c r="G50" s="130">
        <v>725916</v>
      </c>
      <c r="H50" s="129">
        <f>_xlfn.COMPOUNDVALUE(144)</f>
        <v>33</v>
      </c>
      <c r="I50" s="131">
        <v>11009</v>
      </c>
      <c r="J50" s="129">
        <v>118</v>
      </c>
      <c r="K50" s="131">
        <v>12056</v>
      </c>
      <c r="L50" s="129">
        <v>1650</v>
      </c>
      <c r="M50" s="131">
        <v>726963</v>
      </c>
      <c r="N50" s="14" t="s">
        <v>133</v>
      </c>
    </row>
    <row r="51" spans="1:14" s="17" customFormat="1" ht="15.75" customHeight="1">
      <c r="A51" s="13" t="s">
        <v>58</v>
      </c>
      <c r="B51" s="129">
        <f>_xlfn.COMPOUNDVALUE(145)</f>
        <v>523</v>
      </c>
      <c r="C51" s="130">
        <v>332253</v>
      </c>
      <c r="D51" s="129">
        <f>_xlfn.COMPOUNDVALUE(146)</f>
        <v>1233</v>
      </c>
      <c r="E51" s="130">
        <v>422989</v>
      </c>
      <c r="F51" s="129">
        <f>_xlfn.COMPOUNDVALUE(147)</f>
        <v>1756</v>
      </c>
      <c r="G51" s="130">
        <v>755242</v>
      </c>
      <c r="H51" s="129">
        <f>_xlfn.COMPOUNDVALUE(148)</f>
        <v>35</v>
      </c>
      <c r="I51" s="131">
        <v>7345</v>
      </c>
      <c r="J51" s="129">
        <v>129</v>
      </c>
      <c r="K51" s="131">
        <v>16621</v>
      </c>
      <c r="L51" s="129">
        <v>1835</v>
      </c>
      <c r="M51" s="131">
        <v>764519</v>
      </c>
      <c r="N51" s="14" t="s">
        <v>134</v>
      </c>
    </row>
    <row r="52" spans="1:14" s="17" customFormat="1" ht="15.75" customHeight="1">
      <c r="A52" s="13" t="s">
        <v>59</v>
      </c>
      <c r="B52" s="129">
        <f>_xlfn.COMPOUNDVALUE(149)</f>
        <v>409</v>
      </c>
      <c r="C52" s="130">
        <v>207744</v>
      </c>
      <c r="D52" s="129">
        <f>_xlfn.COMPOUNDVALUE(150)</f>
        <v>801</v>
      </c>
      <c r="E52" s="130">
        <v>268130</v>
      </c>
      <c r="F52" s="129">
        <f>_xlfn.COMPOUNDVALUE(151)</f>
        <v>1210</v>
      </c>
      <c r="G52" s="130">
        <v>475874</v>
      </c>
      <c r="H52" s="129">
        <f>_xlfn.COMPOUNDVALUE(152)</f>
        <v>29</v>
      </c>
      <c r="I52" s="131">
        <v>15433</v>
      </c>
      <c r="J52" s="129">
        <v>112</v>
      </c>
      <c r="K52" s="131">
        <v>10478</v>
      </c>
      <c r="L52" s="129">
        <v>1261</v>
      </c>
      <c r="M52" s="131">
        <v>470919</v>
      </c>
      <c r="N52" s="14" t="s">
        <v>135</v>
      </c>
    </row>
    <row r="53" spans="1:14" s="17" customFormat="1" ht="15.75" customHeight="1">
      <c r="A53" s="13" t="s">
        <v>60</v>
      </c>
      <c r="B53" s="129">
        <f>_xlfn.COMPOUNDVALUE(153)</f>
        <v>355</v>
      </c>
      <c r="C53" s="130">
        <v>216187</v>
      </c>
      <c r="D53" s="129">
        <f>_xlfn.COMPOUNDVALUE(154)</f>
        <v>661</v>
      </c>
      <c r="E53" s="130">
        <v>240560</v>
      </c>
      <c r="F53" s="129">
        <f>_xlfn.COMPOUNDVALUE(155)</f>
        <v>1016</v>
      </c>
      <c r="G53" s="130">
        <v>456747</v>
      </c>
      <c r="H53" s="129">
        <f>_xlfn.COMPOUNDVALUE(156)</f>
        <v>24</v>
      </c>
      <c r="I53" s="131">
        <v>10063</v>
      </c>
      <c r="J53" s="129">
        <v>69</v>
      </c>
      <c r="K53" s="131">
        <v>10432</v>
      </c>
      <c r="L53" s="129">
        <v>1067</v>
      </c>
      <c r="M53" s="131">
        <v>457115</v>
      </c>
      <c r="N53" s="14" t="s">
        <v>136</v>
      </c>
    </row>
    <row r="54" spans="1:14" s="17" customFormat="1" ht="15.75" customHeight="1">
      <c r="A54" s="13" t="s">
        <v>61</v>
      </c>
      <c r="B54" s="129">
        <f>_xlfn.COMPOUNDVALUE(157)</f>
        <v>288</v>
      </c>
      <c r="C54" s="130">
        <v>165748</v>
      </c>
      <c r="D54" s="129">
        <f>_xlfn.COMPOUNDVALUE(158)</f>
        <v>654</v>
      </c>
      <c r="E54" s="130">
        <v>229192</v>
      </c>
      <c r="F54" s="129">
        <f>_xlfn.COMPOUNDVALUE(159)</f>
        <v>942</v>
      </c>
      <c r="G54" s="130">
        <v>394939</v>
      </c>
      <c r="H54" s="129">
        <f>_xlfn.COMPOUNDVALUE(160)</f>
        <v>17</v>
      </c>
      <c r="I54" s="131">
        <v>16678</v>
      </c>
      <c r="J54" s="129">
        <v>81</v>
      </c>
      <c r="K54" s="131">
        <v>9370</v>
      </c>
      <c r="L54" s="129">
        <v>991</v>
      </c>
      <c r="M54" s="131">
        <v>387632</v>
      </c>
      <c r="N54" s="14" t="s">
        <v>137</v>
      </c>
    </row>
    <row r="55" spans="1:14" s="17" customFormat="1" ht="15.75" customHeight="1">
      <c r="A55" s="13" t="s">
        <v>62</v>
      </c>
      <c r="B55" s="129">
        <f>_xlfn.COMPOUNDVALUE(161)</f>
        <v>462</v>
      </c>
      <c r="C55" s="130">
        <v>277494</v>
      </c>
      <c r="D55" s="129">
        <f>_xlfn.COMPOUNDVALUE(162)</f>
        <v>799</v>
      </c>
      <c r="E55" s="130">
        <v>293469</v>
      </c>
      <c r="F55" s="129">
        <f>_xlfn.COMPOUNDVALUE(163)</f>
        <v>1261</v>
      </c>
      <c r="G55" s="130">
        <v>570963</v>
      </c>
      <c r="H55" s="129">
        <f>_xlfn.COMPOUNDVALUE(164)</f>
        <v>20</v>
      </c>
      <c r="I55" s="131">
        <v>7530</v>
      </c>
      <c r="J55" s="129">
        <v>81</v>
      </c>
      <c r="K55" s="131">
        <v>11043</v>
      </c>
      <c r="L55" s="129">
        <v>1310</v>
      </c>
      <c r="M55" s="131">
        <v>574476</v>
      </c>
      <c r="N55" s="14" t="s">
        <v>138</v>
      </c>
    </row>
    <row r="56" spans="1:14" s="17" customFormat="1" ht="15.75" customHeight="1">
      <c r="A56" s="13" t="s">
        <v>63</v>
      </c>
      <c r="B56" s="129">
        <f>_xlfn.COMPOUNDVALUE(165)</f>
        <v>247</v>
      </c>
      <c r="C56" s="130">
        <v>128838</v>
      </c>
      <c r="D56" s="129">
        <f>_xlfn.COMPOUNDVALUE(166)</f>
        <v>386</v>
      </c>
      <c r="E56" s="130">
        <v>137220</v>
      </c>
      <c r="F56" s="129">
        <f>_xlfn.COMPOUNDVALUE(167)</f>
        <v>633</v>
      </c>
      <c r="G56" s="130">
        <v>266058</v>
      </c>
      <c r="H56" s="129">
        <f>_xlfn.COMPOUNDVALUE(168)</f>
        <v>25</v>
      </c>
      <c r="I56" s="131">
        <v>8997</v>
      </c>
      <c r="J56" s="129">
        <v>41</v>
      </c>
      <c r="K56" s="131">
        <v>-1507</v>
      </c>
      <c r="L56" s="129">
        <v>672</v>
      </c>
      <c r="M56" s="131">
        <v>255554</v>
      </c>
      <c r="N56" s="14" t="s">
        <v>139</v>
      </c>
    </row>
    <row r="57" spans="1:14" s="17" customFormat="1" ht="15.75" customHeight="1">
      <c r="A57" s="15" t="s">
        <v>64</v>
      </c>
      <c r="B57" s="132">
        <v>3956</v>
      </c>
      <c r="C57" s="133">
        <v>2300447</v>
      </c>
      <c r="D57" s="132">
        <v>7597</v>
      </c>
      <c r="E57" s="133">
        <v>2756849</v>
      </c>
      <c r="F57" s="132">
        <v>11553</v>
      </c>
      <c r="G57" s="133">
        <v>5057297</v>
      </c>
      <c r="H57" s="132">
        <v>227</v>
      </c>
      <c r="I57" s="134">
        <v>103487</v>
      </c>
      <c r="J57" s="132">
        <v>951</v>
      </c>
      <c r="K57" s="134">
        <v>133506</v>
      </c>
      <c r="L57" s="132">
        <v>12086</v>
      </c>
      <c r="M57" s="134">
        <v>5087316</v>
      </c>
      <c r="N57" s="16" t="s">
        <v>140</v>
      </c>
    </row>
    <row r="58" spans="1:14" s="17" customFormat="1" ht="15.75" customHeight="1">
      <c r="A58" s="182"/>
      <c r="B58" s="181"/>
      <c r="C58" s="185"/>
      <c r="D58" s="181"/>
      <c r="E58" s="189"/>
      <c r="F58" s="187"/>
      <c r="G58" s="189"/>
      <c r="H58" s="187"/>
      <c r="I58" s="181"/>
      <c r="J58" s="187"/>
      <c r="K58" s="185"/>
      <c r="L58" s="181"/>
      <c r="M58" s="185"/>
      <c r="N58" s="183"/>
    </row>
    <row r="59" spans="1:14" s="17" customFormat="1" ht="15.75" customHeight="1">
      <c r="A59" s="11" t="s">
        <v>65</v>
      </c>
      <c r="B59" s="126">
        <f>_xlfn.COMPOUNDVALUE(169)</f>
        <v>891</v>
      </c>
      <c r="C59" s="127">
        <v>493750</v>
      </c>
      <c r="D59" s="126">
        <f>_xlfn.COMPOUNDVALUE(170)</f>
        <v>1749</v>
      </c>
      <c r="E59" s="127">
        <v>680319</v>
      </c>
      <c r="F59" s="126">
        <f>_xlfn.COMPOUNDVALUE(171)</f>
        <v>2640</v>
      </c>
      <c r="G59" s="127">
        <v>1174069</v>
      </c>
      <c r="H59" s="126">
        <f>_xlfn.COMPOUNDVALUE(172)</f>
        <v>48</v>
      </c>
      <c r="I59" s="128">
        <v>43391</v>
      </c>
      <c r="J59" s="126">
        <v>232</v>
      </c>
      <c r="K59" s="128">
        <v>37081</v>
      </c>
      <c r="L59" s="126">
        <v>2738</v>
      </c>
      <c r="M59" s="128">
        <v>1167759</v>
      </c>
      <c r="N59" s="24" t="s">
        <v>142</v>
      </c>
    </row>
    <row r="60" spans="1:14" s="17" customFormat="1" ht="15.75" customHeight="1">
      <c r="A60" s="11" t="s">
        <v>66</v>
      </c>
      <c r="B60" s="126">
        <f>_xlfn.COMPOUNDVALUE(173)</f>
        <v>535</v>
      </c>
      <c r="C60" s="127">
        <v>323214</v>
      </c>
      <c r="D60" s="126">
        <f>_xlfn.COMPOUNDVALUE(174)</f>
        <v>1128</v>
      </c>
      <c r="E60" s="127">
        <v>400655</v>
      </c>
      <c r="F60" s="126">
        <f>_xlfn.COMPOUNDVALUE(175)</f>
        <v>1663</v>
      </c>
      <c r="G60" s="127">
        <v>723869</v>
      </c>
      <c r="H60" s="126">
        <f>_xlfn.COMPOUNDVALUE(176)</f>
        <v>34</v>
      </c>
      <c r="I60" s="128">
        <v>14372</v>
      </c>
      <c r="J60" s="126">
        <v>172</v>
      </c>
      <c r="K60" s="128">
        <v>24794</v>
      </c>
      <c r="L60" s="126">
        <v>1774</v>
      </c>
      <c r="M60" s="128">
        <v>734291</v>
      </c>
      <c r="N60" s="12" t="s">
        <v>143</v>
      </c>
    </row>
    <row r="61" spans="1:14" s="17" customFormat="1" ht="15.75" customHeight="1">
      <c r="A61" s="11" t="s">
        <v>67</v>
      </c>
      <c r="B61" s="126">
        <f>_xlfn.COMPOUNDVALUE(177)</f>
        <v>1074</v>
      </c>
      <c r="C61" s="127">
        <v>570762</v>
      </c>
      <c r="D61" s="126">
        <f>_xlfn.COMPOUNDVALUE(178)</f>
        <v>1748</v>
      </c>
      <c r="E61" s="127">
        <v>680750</v>
      </c>
      <c r="F61" s="126">
        <f>_xlfn.COMPOUNDVALUE(179)</f>
        <v>2822</v>
      </c>
      <c r="G61" s="127">
        <v>1251512</v>
      </c>
      <c r="H61" s="126">
        <f>_xlfn.COMPOUNDVALUE(180)</f>
        <v>73</v>
      </c>
      <c r="I61" s="128">
        <v>46509</v>
      </c>
      <c r="J61" s="126">
        <v>296</v>
      </c>
      <c r="K61" s="128">
        <v>57508</v>
      </c>
      <c r="L61" s="126">
        <v>3057</v>
      </c>
      <c r="M61" s="128">
        <v>1262511</v>
      </c>
      <c r="N61" s="12" t="s">
        <v>144</v>
      </c>
    </row>
    <row r="62" spans="1:14" s="17" customFormat="1" ht="15.75" customHeight="1">
      <c r="A62" s="13" t="s">
        <v>68</v>
      </c>
      <c r="B62" s="129">
        <f>_xlfn.COMPOUNDVALUE(181)</f>
        <v>1004</v>
      </c>
      <c r="C62" s="130">
        <v>547177</v>
      </c>
      <c r="D62" s="129">
        <f>_xlfn.COMPOUNDVALUE(182)</f>
        <v>1384</v>
      </c>
      <c r="E62" s="130">
        <v>564881</v>
      </c>
      <c r="F62" s="129">
        <f>_xlfn.COMPOUNDVALUE(183)</f>
        <v>2388</v>
      </c>
      <c r="G62" s="130">
        <v>1112057</v>
      </c>
      <c r="H62" s="129">
        <f>_xlfn.COMPOUNDVALUE(184)</f>
        <v>66</v>
      </c>
      <c r="I62" s="131">
        <v>34756</v>
      </c>
      <c r="J62" s="129">
        <v>233</v>
      </c>
      <c r="K62" s="131">
        <v>40444</v>
      </c>
      <c r="L62" s="129">
        <v>2584</v>
      </c>
      <c r="M62" s="131">
        <v>1117745</v>
      </c>
      <c r="N62" s="14" t="s">
        <v>68</v>
      </c>
    </row>
    <row r="63" spans="1:14" s="17" customFormat="1" ht="15.75" customHeight="1">
      <c r="A63" s="13" t="s">
        <v>69</v>
      </c>
      <c r="B63" s="129">
        <f>_xlfn.COMPOUNDVALUE(185)</f>
        <v>531</v>
      </c>
      <c r="C63" s="130">
        <v>264965</v>
      </c>
      <c r="D63" s="129">
        <f>_xlfn.COMPOUNDVALUE(186)</f>
        <v>904</v>
      </c>
      <c r="E63" s="130">
        <v>353665</v>
      </c>
      <c r="F63" s="129">
        <f>_xlfn.COMPOUNDVALUE(187)</f>
        <v>1435</v>
      </c>
      <c r="G63" s="130">
        <v>618630</v>
      </c>
      <c r="H63" s="129">
        <f>_xlfn.COMPOUNDVALUE(188)</f>
        <v>46</v>
      </c>
      <c r="I63" s="131">
        <v>16084</v>
      </c>
      <c r="J63" s="129">
        <v>174</v>
      </c>
      <c r="K63" s="131">
        <v>43702</v>
      </c>
      <c r="L63" s="129">
        <v>1569</v>
      </c>
      <c r="M63" s="131">
        <v>646248</v>
      </c>
      <c r="N63" s="14" t="s">
        <v>145</v>
      </c>
    </row>
    <row r="64" spans="1:14" s="17" customFormat="1" ht="15.75" customHeight="1">
      <c r="A64" s="13" t="s">
        <v>70</v>
      </c>
      <c r="B64" s="129">
        <f>_xlfn.COMPOUNDVALUE(189)</f>
        <v>442</v>
      </c>
      <c r="C64" s="130">
        <v>195995</v>
      </c>
      <c r="D64" s="129">
        <f>_xlfn.COMPOUNDVALUE(190)</f>
        <v>808</v>
      </c>
      <c r="E64" s="130">
        <v>275591</v>
      </c>
      <c r="F64" s="129">
        <f>_xlfn.COMPOUNDVALUE(191)</f>
        <v>1250</v>
      </c>
      <c r="G64" s="130">
        <v>471586</v>
      </c>
      <c r="H64" s="129">
        <f>_xlfn.COMPOUNDVALUE(192)</f>
        <v>33</v>
      </c>
      <c r="I64" s="131">
        <v>15881</v>
      </c>
      <c r="J64" s="129">
        <v>85</v>
      </c>
      <c r="K64" s="131">
        <v>13938</v>
      </c>
      <c r="L64" s="129">
        <v>1328</v>
      </c>
      <c r="M64" s="131">
        <v>469643</v>
      </c>
      <c r="N64" s="14" t="s">
        <v>146</v>
      </c>
    </row>
    <row r="65" spans="1:14" s="17" customFormat="1" ht="15.75" customHeight="1">
      <c r="A65" s="13" t="s">
        <v>71</v>
      </c>
      <c r="B65" s="129">
        <f>_xlfn.COMPOUNDVALUE(193)</f>
        <v>206</v>
      </c>
      <c r="C65" s="130">
        <v>95744</v>
      </c>
      <c r="D65" s="129">
        <f>_xlfn.COMPOUNDVALUE(194)</f>
        <v>355</v>
      </c>
      <c r="E65" s="130">
        <v>119375</v>
      </c>
      <c r="F65" s="129">
        <f>_xlfn.COMPOUNDVALUE(195)</f>
        <v>561</v>
      </c>
      <c r="G65" s="130">
        <v>215119</v>
      </c>
      <c r="H65" s="129">
        <f>_xlfn.COMPOUNDVALUE(196)</f>
        <v>18</v>
      </c>
      <c r="I65" s="131">
        <v>4860</v>
      </c>
      <c r="J65" s="129">
        <v>40</v>
      </c>
      <c r="K65" s="131">
        <v>4170</v>
      </c>
      <c r="L65" s="129">
        <v>588</v>
      </c>
      <c r="M65" s="131">
        <v>214429</v>
      </c>
      <c r="N65" s="14" t="s">
        <v>147</v>
      </c>
    </row>
    <row r="66" spans="1:14" s="17" customFormat="1" ht="15.75" customHeight="1">
      <c r="A66" s="13" t="s">
        <v>72</v>
      </c>
      <c r="B66" s="129">
        <f>_xlfn.COMPOUNDVALUE(197)</f>
        <v>516</v>
      </c>
      <c r="C66" s="130">
        <v>407026</v>
      </c>
      <c r="D66" s="129">
        <f>_xlfn.COMPOUNDVALUE(198)</f>
        <v>721</v>
      </c>
      <c r="E66" s="130">
        <v>306902</v>
      </c>
      <c r="F66" s="129">
        <f>_xlfn.COMPOUNDVALUE(199)</f>
        <v>1237</v>
      </c>
      <c r="G66" s="130">
        <v>713928</v>
      </c>
      <c r="H66" s="129">
        <f>_xlfn.COMPOUNDVALUE(200)</f>
        <v>99</v>
      </c>
      <c r="I66" s="131">
        <v>165611</v>
      </c>
      <c r="J66" s="129">
        <v>149</v>
      </c>
      <c r="K66" s="131">
        <v>44140</v>
      </c>
      <c r="L66" s="129">
        <v>1400</v>
      </c>
      <c r="M66" s="131">
        <v>592457</v>
      </c>
      <c r="N66" s="14" t="s">
        <v>148</v>
      </c>
    </row>
    <row r="67" spans="1:14" s="17" customFormat="1" ht="15.75" customHeight="1">
      <c r="A67" s="13" t="s">
        <v>73</v>
      </c>
      <c r="B67" s="129">
        <f>_xlfn.COMPOUNDVALUE(201)</f>
        <v>316</v>
      </c>
      <c r="C67" s="130">
        <v>190513</v>
      </c>
      <c r="D67" s="129">
        <f>_xlfn.COMPOUNDVALUE(202)</f>
        <v>486</v>
      </c>
      <c r="E67" s="130">
        <v>181267</v>
      </c>
      <c r="F67" s="129">
        <f>_xlfn.COMPOUNDVALUE(203)</f>
        <v>802</v>
      </c>
      <c r="G67" s="130">
        <v>371780</v>
      </c>
      <c r="H67" s="129">
        <f>_xlfn.COMPOUNDVALUE(204)</f>
        <v>27</v>
      </c>
      <c r="I67" s="131">
        <v>13024</v>
      </c>
      <c r="J67" s="129">
        <v>68</v>
      </c>
      <c r="K67" s="131">
        <v>5519</v>
      </c>
      <c r="L67" s="129">
        <v>846</v>
      </c>
      <c r="M67" s="131">
        <v>364275</v>
      </c>
      <c r="N67" s="14" t="s">
        <v>149</v>
      </c>
    </row>
    <row r="68" spans="1:14" s="17" customFormat="1" ht="15.75" customHeight="1">
      <c r="A68" s="13" t="s">
        <v>74</v>
      </c>
      <c r="B68" s="129">
        <f>_xlfn.COMPOUNDVALUE(205)</f>
        <v>107</v>
      </c>
      <c r="C68" s="130">
        <v>70671</v>
      </c>
      <c r="D68" s="129">
        <f>_xlfn.COMPOUNDVALUE(206)</f>
        <v>218</v>
      </c>
      <c r="E68" s="130">
        <v>77201</v>
      </c>
      <c r="F68" s="129">
        <f>_xlfn.COMPOUNDVALUE(207)</f>
        <v>325</v>
      </c>
      <c r="G68" s="130">
        <v>147871</v>
      </c>
      <c r="H68" s="129">
        <f>_xlfn.COMPOUNDVALUE(208)</f>
        <v>14</v>
      </c>
      <c r="I68" s="131">
        <v>19383</v>
      </c>
      <c r="J68" s="129">
        <v>25</v>
      </c>
      <c r="K68" s="131">
        <v>6776</v>
      </c>
      <c r="L68" s="129">
        <v>344</v>
      </c>
      <c r="M68" s="131">
        <v>135265</v>
      </c>
      <c r="N68" s="14" t="s">
        <v>150</v>
      </c>
    </row>
    <row r="69" spans="1:14" s="17" customFormat="1" ht="15.75" customHeight="1">
      <c r="A69" s="15" t="s">
        <v>75</v>
      </c>
      <c r="B69" s="132">
        <v>5622</v>
      </c>
      <c r="C69" s="133">
        <v>3159816</v>
      </c>
      <c r="D69" s="132">
        <v>9501</v>
      </c>
      <c r="E69" s="133">
        <v>3640606</v>
      </c>
      <c r="F69" s="132">
        <v>15123</v>
      </c>
      <c r="G69" s="133">
        <v>6800421</v>
      </c>
      <c r="H69" s="132">
        <v>458</v>
      </c>
      <c r="I69" s="134">
        <v>373872</v>
      </c>
      <c r="J69" s="132">
        <v>1474</v>
      </c>
      <c r="K69" s="134">
        <v>278072</v>
      </c>
      <c r="L69" s="132">
        <v>16228</v>
      </c>
      <c r="M69" s="134">
        <v>6704622</v>
      </c>
      <c r="N69" s="16" t="s">
        <v>151</v>
      </c>
    </row>
    <row r="70" spans="1:15" s="17" customFormat="1" ht="15.75" customHeight="1" thickBot="1">
      <c r="A70" s="18"/>
      <c r="B70" s="138"/>
      <c r="C70" s="139"/>
      <c r="D70" s="138"/>
      <c r="E70" s="139"/>
      <c r="F70" s="140"/>
      <c r="G70" s="139"/>
      <c r="H70" s="140"/>
      <c r="I70" s="139"/>
      <c r="J70" s="140"/>
      <c r="K70" s="139"/>
      <c r="L70" s="140"/>
      <c r="M70" s="139"/>
      <c r="N70" s="19"/>
      <c r="O70" s="36"/>
    </row>
    <row r="71" spans="1:14" s="17" customFormat="1" ht="15.75" customHeight="1" thickBot="1" thickTop="1">
      <c r="A71" s="21" t="s">
        <v>17</v>
      </c>
      <c r="B71" s="141">
        <v>30015</v>
      </c>
      <c r="C71" s="142">
        <v>18012962</v>
      </c>
      <c r="D71" s="141">
        <v>48742</v>
      </c>
      <c r="E71" s="142">
        <v>19014599</v>
      </c>
      <c r="F71" s="141">
        <v>78757</v>
      </c>
      <c r="G71" s="142">
        <v>37027560</v>
      </c>
      <c r="H71" s="141">
        <v>2062</v>
      </c>
      <c r="I71" s="143">
        <v>1567811</v>
      </c>
      <c r="J71" s="141">
        <v>6660</v>
      </c>
      <c r="K71" s="143">
        <v>1120507</v>
      </c>
      <c r="L71" s="141">
        <v>83270</v>
      </c>
      <c r="M71" s="143">
        <v>36580256</v>
      </c>
      <c r="N71" s="22" t="s">
        <v>94</v>
      </c>
    </row>
    <row r="72" spans="1:14" ht="13.5">
      <c r="A72" s="228" t="s">
        <v>243</v>
      </c>
      <c r="B72" s="228"/>
      <c r="C72" s="228"/>
      <c r="D72" s="228"/>
      <c r="E72" s="228"/>
      <c r="F72" s="228"/>
      <c r="G72" s="228"/>
      <c r="H72" s="228"/>
      <c r="I72" s="228"/>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L3:M4"/>
    <mergeCell ref="A72:I72"/>
    <mergeCell ref="A2:G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(H28)</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251</v>
      </c>
      <c r="B1" s="1"/>
      <c r="C1" s="1"/>
      <c r="D1" s="1"/>
      <c r="E1" s="1"/>
      <c r="F1" s="1"/>
      <c r="G1" s="1"/>
      <c r="H1" s="1"/>
      <c r="I1" s="1"/>
      <c r="J1" s="1"/>
      <c r="K1" s="1"/>
      <c r="L1" s="2"/>
      <c r="M1" s="2"/>
    </row>
    <row r="2" spans="1:13" ht="14.25" thickBot="1">
      <c r="A2" s="243" t="s">
        <v>76</v>
      </c>
      <c r="B2" s="243"/>
      <c r="C2" s="243"/>
      <c r="D2" s="243"/>
      <c r="E2" s="243"/>
      <c r="F2" s="243"/>
      <c r="G2" s="243"/>
      <c r="H2" s="243"/>
      <c r="I2" s="243"/>
      <c r="J2" s="25"/>
      <c r="K2" s="25"/>
      <c r="L2" s="2"/>
      <c r="M2" s="2"/>
    </row>
    <row r="3" spans="1:14" ht="19.5" customHeight="1">
      <c r="A3" s="229" t="s">
        <v>1</v>
      </c>
      <c r="B3" s="232" t="s">
        <v>2</v>
      </c>
      <c r="C3" s="232"/>
      <c r="D3" s="232"/>
      <c r="E3" s="232"/>
      <c r="F3" s="232"/>
      <c r="G3" s="232"/>
      <c r="H3" s="233" t="s">
        <v>3</v>
      </c>
      <c r="I3" s="234"/>
      <c r="J3" s="242" t="s">
        <v>4</v>
      </c>
      <c r="K3" s="234"/>
      <c r="L3" s="233" t="s">
        <v>5</v>
      </c>
      <c r="M3" s="234"/>
      <c r="N3" s="237" t="s">
        <v>77</v>
      </c>
    </row>
    <row r="4" spans="1:14" ht="17.25" customHeight="1">
      <c r="A4" s="230"/>
      <c r="B4" s="235" t="s">
        <v>7</v>
      </c>
      <c r="C4" s="241"/>
      <c r="D4" s="235" t="s">
        <v>8</v>
      </c>
      <c r="E4" s="241"/>
      <c r="F4" s="235" t="s">
        <v>9</v>
      </c>
      <c r="G4" s="241"/>
      <c r="H4" s="235"/>
      <c r="I4" s="236"/>
      <c r="J4" s="235"/>
      <c r="K4" s="236"/>
      <c r="L4" s="235"/>
      <c r="M4" s="236"/>
      <c r="N4" s="238"/>
    </row>
    <row r="5" spans="1:14" ht="28.5" customHeight="1">
      <c r="A5" s="231"/>
      <c r="B5" s="33" t="s">
        <v>10</v>
      </c>
      <c r="C5" s="34" t="s">
        <v>11</v>
      </c>
      <c r="D5" s="33" t="s">
        <v>10</v>
      </c>
      <c r="E5" s="34" t="s">
        <v>11</v>
      </c>
      <c r="F5" s="33" t="s">
        <v>10</v>
      </c>
      <c r="G5" s="38" t="s">
        <v>12</v>
      </c>
      <c r="H5" s="33" t="s">
        <v>91</v>
      </c>
      <c r="I5" s="37" t="s">
        <v>13</v>
      </c>
      <c r="J5" s="33" t="s">
        <v>91</v>
      </c>
      <c r="K5" s="37" t="s">
        <v>14</v>
      </c>
      <c r="L5" s="33" t="s">
        <v>91</v>
      </c>
      <c r="M5" s="35" t="s">
        <v>92</v>
      </c>
      <c r="N5" s="239"/>
    </row>
    <row r="6" spans="1:14" s="27" customFormat="1" ht="10.5">
      <c r="A6" s="5"/>
      <c r="B6" s="6" t="s">
        <v>15</v>
      </c>
      <c r="C6" s="7" t="s">
        <v>16</v>
      </c>
      <c r="D6" s="6" t="s">
        <v>15</v>
      </c>
      <c r="E6" s="7" t="s">
        <v>16</v>
      </c>
      <c r="F6" s="6" t="s">
        <v>15</v>
      </c>
      <c r="G6" s="7" t="s">
        <v>16</v>
      </c>
      <c r="H6" s="6" t="s">
        <v>15</v>
      </c>
      <c r="I6" s="8" t="s">
        <v>16</v>
      </c>
      <c r="J6" s="6" t="s">
        <v>15</v>
      </c>
      <c r="K6" s="8" t="s">
        <v>16</v>
      </c>
      <c r="L6" s="6" t="s">
        <v>249</v>
      </c>
      <c r="M6" s="8" t="s">
        <v>16</v>
      </c>
      <c r="N6" s="9"/>
    </row>
    <row r="7" spans="1:14" ht="15.75" customHeight="1">
      <c r="A7" s="11" t="s">
        <v>78</v>
      </c>
      <c r="B7" s="126">
        <f>_xlfn.COMPOUNDVALUE(209)</f>
        <v>2565</v>
      </c>
      <c r="C7" s="127">
        <v>154423541</v>
      </c>
      <c r="D7" s="126">
        <f>_xlfn.COMPOUNDVALUE(210)</f>
        <v>936</v>
      </c>
      <c r="E7" s="127">
        <v>584716</v>
      </c>
      <c r="F7" s="126">
        <f>_xlfn.COMPOUNDVALUE(211)</f>
        <v>3501</v>
      </c>
      <c r="G7" s="127">
        <v>155008258</v>
      </c>
      <c r="H7" s="126">
        <f>_xlfn.COMPOUNDVALUE(212)</f>
        <v>143</v>
      </c>
      <c r="I7" s="128">
        <v>606985</v>
      </c>
      <c r="J7" s="126">
        <v>238</v>
      </c>
      <c r="K7" s="128">
        <v>-1350</v>
      </c>
      <c r="L7" s="126">
        <v>3669</v>
      </c>
      <c r="M7" s="128">
        <v>154399922</v>
      </c>
      <c r="N7" s="12" t="s">
        <v>96</v>
      </c>
    </row>
    <row r="8" spans="1:14" ht="15.75" customHeight="1">
      <c r="A8" s="13" t="s">
        <v>79</v>
      </c>
      <c r="B8" s="129">
        <f>_xlfn.COMPOUNDVALUE(213)</f>
        <v>1477</v>
      </c>
      <c r="C8" s="130">
        <v>9114545</v>
      </c>
      <c r="D8" s="129">
        <f>_xlfn.COMPOUNDVALUE(214)</f>
        <v>588</v>
      </c>
      <c r="E8" s="130">
        <v>348747</v>
      </c>
      <c r="F8" s="129">
        <f>_xlfn.COMPOUNDVALUE(215)</f>
        <v>2065</v>
      </c>
      <c r="G8" s="130">
        <v>9463291</v>
      </c>
      <c r="H8" s="129">
        <f>_xlfn.COMPOUNDVALUE(216)</f>
        <v>93</v>
      </c>
      <c r="I8" s="131">
        <v>731590</v>
      </c>
      <c r="J8" s="129">
        <v>114</v>
      </c>
      <c r="K8" s="131">
        <v>15926</v>
      </c>
      <c r="L8" s="129">
        <v>2173</v>
      </c>
      <c r="M8" s="131">
        <v>8747627</v>
      </c>
      <c r="N8" s="14" t="s">
        <v>97</v>
      </c>
    </row>
    <row r="9" spans="1:14" ht="15.75" customHeight="1">
      <c r="A9" s="13" t="s">
        <v>80</v>
      </c>
      <c r="B9" s="129">
        <f>_xlfn.COMPOUNDVALUE(217)</f>
        <v>2748</v>
      </c>
      <c r="C9" s="130">
        <v>20831517</v>
      </c>
      <c r="D9" s="129">
        <f>_xlfn.COMPOUNDVALUE(218)</f>
        <v>1111</v>
      </c>
      <c r="E9" s="130">
        <v>681524</v>
      </c>
      <c r="F9" s="129">
        <f>_xlfn.COMPOUNDVALUE(219)</f>
        <v>3859</v>
      </c>
      <c r="G9" s="130">
        <v>21513041</v>
      </c>
      <c r="H9" s="129">
        <f>_xlfn.COMPOUNDVALUE(220)</f>
        <v>113</v>
      </c>
      <c r="I9" s="131">
        <v>3272544</v>
      </c>
      <c r="J9" s="129">
        <v>168</v>
      </c>
      <c r="K9" s="131">
        <v>73438</v>
      </c>
      <c r="L9" s="129">
        <v>4001</v>
      </c>
      <c r="M9" s="131">
        <v>18313934</v>
      </c>
      <c r="N9" s="14" t="s">
        <v>98</v>
      </c>
    </row>
    <row r="10" spans="1:14" ht="15.75" customHeight="1">
      <c r="A10" s="13" t="s">
        <v>81</v>
      </c>
      <c r="B10" s="129">
        <f>_xlfn.COMPOUNDVALUE(221)</f>
        <v>541</v>
      </c>
      <c r="C10" s="130">
        <v>3212003</v>
      </c>
      <c r="D10" s="129">
        <f>_xlfn.COMPOUNDVALUE(222)</f>
        <v>178</v>
      </c>
      <c r="E10" s="130">
        <v>102305</v>
      </c>
      <c r="F10" s="129">
        <f>_xlfn.COMPOUNDVALUE(223)</f>
        <v>719</v>
      </c>
      <c r="G10" s="130">
        <v>3314308</v>
      </c>
      <c r="H10" s="129">
        <f>_xlfn.COMPOUNDVALUE(224)</f>
        <v>25</v>
      </c>
      <c r="I10" s="131">
        <v>63216</v>
      </c>
      <c r="J10" s="129">
        <v>62</v>
      </c>
      <c r="K10" s="131">
        <v>10413</v>
      </c>
      <c r="L10" s="129">
        <v>751</v>
      </c>
      <c r="M10" s="131">
        <v>3261506</v>
      </c>
      <c r="N10" s="14" t="s">
        <v>99</v>
      </c>
    </row>
    <row r="11" spans="1:14" ht="15.75" customHeight="1">
      <c r="A11" s="13" t="s">
        <v>82</v>
      </c>
      <c r="B11" s="129">
        <f>_xlfn.COMPOUNDVALUE(225)</f>
        <v>1100</v>
      </c>
      <c r="C11" s="130">
        <v>4474371</v>
      </c>
      <c r="D11" s="129">
        <f>_xlfn.COMPOUNDVALUE(226)</f>
        <v>381</v>
      </c>
      <c r="E11" s="130">
        <v>217571</v>
      </c>
      <c r="F11" s="129">
        <f>_xlfn.COMPOUNDVALUE(227)</f>
        <v>1481</v>
      </c>
      <c r="G11" s="130">
        <v>4691942</v>
      </c>
      <c r="H11" s="129">
        <f>_xlfn.COMPOUNDVALUE(228)</f>
        <v>54</v>
      </c>
      <c r="I11" s="131">
        <v>156435</v>
      </c>
      <c r="J11" s="129">
        <v>133</v>
      </c>
      <c r="K11" s="131">
        <v>15738</v>
      </c>
      <c r="L11" s="129">
        <v>1549</v>
      </c>
      <c r="M11" s="131">
        <v>4551246</v>
      </c>
      <c r="N11" s="14" t="s">
        <v>100</v>
      </c>
    </row>
    <row r="12" spans="1:14" ht="15.75" customHeight="1">
      <c r="A12" s="13" t="s">
        <v>83</v>
      </c>
      <c r="B12" s="129">
        <f>_xlfn.COMPOUNDVALUE(229)</f>
        <v>1746</v>
      </c>
      <c r="C12" s="130">
        <v>23982379</v>
      </c>
      <c r="D12" s="129">
        <f>_xlfn.COMPOUNDVALUE(230)</f>
        <v>675</v>
      </c>
      <c r="E12" s="130">
        <v>423810</v>
      </c>
      <c r="F12" s="129">
        <f>_xlfn.COMPOUNDVALUE(231)</f>
        <v>2421</v>
      </c>
      <c r="G12" s="130">
        <v>24406189</v>
      </c>
      <c r="H12" s="129">
        <f>_xlfn.COMPOUNDVALUE(232)</f>
        <v>101</v>
      </c>
      <c r="I12" s="131">
        <v>543285</v>
      </c>
      <c r="J12" s="129">
        <v>140</v>
      </c>
      <c r="K12" s="131">
        <v>29671</v>
      </c>
      <c r="L12" s="129">
        <v>2540</v>
      </c>
      <c r="M12" s="131">
        <v>23892574</v>
      </c>
      <c r="N12" s="14" t="s">
        <v>101</v>
      </c>
    </row>
    <row r="13" spans="1:14" s="17" customFormat="1" ht="15.75" customHeight="1">
      <c r="A13" s="13" t="s">
        <v>24</v>
      </c>
      <c r="B13" s="129">
        <f>_xlfn.COMPOUNDVALUE(233)</f>
        <v>596</v>
      </c>
      <c r="C13" s="130">
        <v>2861928</v>
      </c>
      <c r="D13" s="129">
        <f>_xlfn.COMPOUNDVALUE(234)</f>
        <v>186</v>
      </c>
      <c r="E13" s="130">
        <v>104680</v>
      </c>
      <c r="F13" s="129">
        <f>_xlfn.COMPOUNDVALUE(235)</f>
        <v>782</v>
      </c>
      <c r="G13" s="130">
        <v>2966609</v>
      </c>
      <c r="H13" s="129">
        <f>_xlfn.COMPOUNDVALUE(236)</f>
        <v>18</v>
      </c>
      <c r="I13" s="131">
        <v>263786</v>
      </c>
      <c r="J13" s="129">
        <v>48</v>
      </c>
      <c r="K13" s="131">
        <v>15058</v>
      </c>
      <c r="L13" s="129">
        <v>817</v>
      </c>
      <c r="M13" s="131">
        <v>2717881</v>
      </c>
      <c r="N13" s="14" t="s">
        <v>24</v>
      </c>
    </row>
    <row r="14" spans="1:14" s="28" customFormat="1" ht="15.75" customHeight="1">
      <c r="A14" s="15" t="s">
        <v>187</v>
      </c>
      <c r="B14" s="132">
        <v>10773</v>
      </c>
      <c r="C14" s="133">
        <v>218900285</v>
      </c>
      <c r="D14" s="132">
        <v>4055</v>
      </c>
      <c r="E14" s="133">
        <v>2463353</v>
      </c>
      <c r="F14" s="132">
        <v>14828</v>
      </c>
      <c r="G14" s="133">
        <v>221363638</v>
      </c>
      <c r="H14" s="132">
        <v>547</v>
      </c>
      <c r="I14" s="134">
        <v>5637841</v>
      </c>
      <c r="J14" s="132">
        <v>903</v>
      </c>
      <c r="K14" s="134">
        <v>158893</v>
      </c>
      <c r="L14" s="132">
        <v>15500</v>
      </c>
      <c r="M14" s="134">
        <v>215884690</v>
      </c>
      <c r="N14" s="16" t="s">
        <v>95</v>
      </c>
    </row>
    <row r="15" spans="1:14" s="17" customFormat="1" ht="15.75" customHeight="1">
      <c r="A15" s="182"/>
      <c r="B15" s="190"/>
      <c r="C15" s="181"/>
      <c r="D15" s="187"/>
      <c r="E15" s="189"/>
      <c r="F15" s="187"/>
      <c r="G15" s="189"/>
      <c r="H15" s="187"/>
      <c r="I15" s="189"/>
      <c r="J15" s="187"/>
      <c r="K15" s="185"/>
      <c r="L15" s="190"/>
      <c r="M15" s="181"/>
      <c r="N15" s="183"/>
    </row>
    <row r="16" spans="1:14" ht="15.75" customHeight="1">
      <c r="A16" s="11" t="s">
        <v>188</v>
      </c>
      <c r="B16" s="126">
        <f>_xlfn.COMPOUNDVALUE(237)</f>
        <v>3830</v>
      </c>
      <c r="C16" s="127">
        <v>30586698</v>
      </c>
      <c r="D16" s="126">
        <f>_xlfn.COMPOUNDVALUE(238)</f>
        <v>1549</v>
      </c>
      <c r="E16" s="127">
        <v>986192</v>
      </c>
      <c r="F16" s="126">
        <f>_xlfn.COMPOUNDVALUE(239)</f>
        <v>5379</v>
      </c>
      <c r="G16" s="127">
        <v>31572890</v>
      </c>
      <c r="H16" s="126">
        <f>_xlfn.COMPOUNDVALUE(240)</f>
        <v>218</v>
      </c>
      <c r="I16" s="128">
        <v>2031669</v>
      </c>
      <c r="J16" s="126">
        <v>388</v>
      </c>
      <c r="K16" s="128">
        <v>207438</v>
      </c>
      <c r="L16" s="126">
        <v>5652</v>
      </c>
      <c r="M16" s="128">
        <v>29748659</v>
      </c>
      <c r="N16" s="24" t="s">
        <v>102</v>
      </c>
    </row>
    <row r="17" spans="1:14" ht="15.75" customHeight="1">
      <c r="A17" s="13" t="s">
        <v>189</v>
      </c>
      <c r="B17" s="129">
        <f>_xlfn.COMPOUNDVALUE(241)</f>
        <v>644</v>
      </c>
      <c r="C17" s="130">
        <v>3844625</v>
      </c>
      <c r="D17" s="129">
        <f>_xlfn.COMPOUNDVALUE(242)</f>
        <v>210</v>
      </c>
      <c r="E17" s="130">
        <v>139297</v>
      </c>
      <c r="F17" s="129">
        <f>_xlfn.COMPOUNDVALUE(243)</f>
        <v>854</v>
      </c>
      <c r="G17" s="130">
        <v>3983922</v>
      </c>
      <c r="H17" s="129">
        <f>_xlfn.COMPOUNDVALUE(244)</f>
        <v>48</v>
      </c>
      <c r="I17" s="131">
        <v>362998</v>
      </c>
      <c r="J17" s="129">
        <v>49</v>
      </c>
      <c r="K17" s="131">
        <v>35683</v>
      </c>
      <c r="L17" s="129">
        <v>913</v>
      </c>
      <c r="M17" s="131">
        <v>3656607</v>
      </c>
      <c r="N17" s="14" t="s">
        <v>103</v>
      </c>
    </row>
    <row r="18" spans="1:14" ht="15.75" customHeight="1">
      <c r="A18" s="13" t="s">
        <v>190</v>
      </c>
      <c r="B18" s="129">
        <f>_xlfn.COMPOUNDVALUE(245)</f>
        <v>541</v>
      </c>
      <c r="C18" s="130">
        <v>4199084</v>
      </c>
      <c r="D18" s="129">
        <f>_xlfn.COMPOUNDVALUE(246)</f>
        <v>158</v>
      </c>
      <c r="E18" s="130">
        <v>94301</v>
      </c>
      <c r="F18" s="129">
        <f>_xlfn.COMPOUNDVALUE(247)</f>
        <v>699</v>
      </c>
      <c r="G18" s="130">
        <v>4293385</v>
      </c>
      <c r="H18" s="129">
        <f>_xlfn.COMPOUNDVALUE(248)</f>
        <v>40</v>
      </c>
      <c r="I18" s="131">
        <v>290900</v>
      </c>
      <c r="J18" s="129">
        <v>50</v>
      </c>
      <c r="K18" s="131">
        <v>29285</v>
      </c>
      <c r="L18" s="129">
        <v>748</v>
      </c>
      <c r="M18" s="131">
        <v>4031770</v>
      </c>
      <c r="N18" s="14" t="s">
        <v>104</v>
      </c>
    </row>
    <row r="19" spans="1:14" ht="15.75" customHeight="1">
      <c r="A19" s="13" t="s">
        <v>191</v>
      </c>
      <c r="B19" s="129">
        <f>_xlfn.COMPOUNDVALUE(249)</f>
        <v>1012</v>
      </c>
      <c r="C19" s="130">
        <v>7691131</v>
      </c>
      <c r="D19" s="129">
        <f>_xlfn.COMPOUNDVALUE(250)</f>
        <v>393</v>
      </c>
      <c r="E19" s="130">
        <v>236936</v>
      </c>
      <c r="F19" s="129">
        <f>_xlfn.COMPOUNDVALUE(251)</f>
        <v>1405</v>
      </c>
      <c r="G19" s="130">
        <v>7928067</v>
      </c>
      <c r="H19" s="129">
        <f>_xlfn.COMPOUNDVALUE(252)</f>
        <v>55</v>
      </c>
      <c r="I19" s="131">
        <v>199020</v>
      </c>
      <c r="J19" s="129">
        <v>89</v>
      </c>
      <c r="K19" s="131">
        <v>7083</v>
      </c>
      <c r="L19" s="129">
        <v>1471</v>
      </c>
      <c r="M19" s="131">
        <v>7736130</v>
      </c>
      <c r="N19" s="14" t="s">
        <v>105</v>
      </c>
    </row>
    <row r="20" spans="1:14" ht="15.75" customHeight="1">
      <c r="A20" s="13" t="s">
        <v>192</v>
      </c>
      <c r="B20" s="129">
        <f>_xlfn.COMPOUNDVALUE(253)</f>
        <v>1463</v>
      </c>
      <c r="C20" s="130">
        <v>12638112</v>
      </c>
      <c r="D20" s="129">
        <f>_xlfn.COMPOUNDVALUE(254)</f>
        <v>558</v>
      </c>
      <c r="E20" s="130">
        <v>322935</v>
      </c>
      <c r="F20" s="129">
        <f>_xlfn.COMPOUNDVALUE(255)</f>
        <v>2021</v>
      </c>
      <c r="G20" s="130">
        <v>12961047</v>
      </c>
      <c r="H20" s="129">
        <f>_xlfn.COMPOUNDVALUE(256)</f>
        <v>98</v>
      </c>
      <c r="I20" s="131">
        <v>959108</v>
      </c>
      <c r="J20" s="129">
        <v>129</v>
      </c>
      <c r="K20" s="131">
        <v>8915</v>
      </c>
      <c r="L20" s="129">
        <v>2146</v>
      </c>
      <c r="M20" s="131">
        <v>12010854</v>
      </c>
      <c r="N20" s="14" t="s">
        <v>106</v>
      </c>
    </row>
    <row r="21" spans="1:14" ht="15.75" customHeight="1">
      <c r="A21" s="13" t="s">
        <v>193</v>
      </c>
      <c r="B21" s="129">
        <f>_xlfn.COMPOUNDVALUE(257)</f>
        <v>485</v>
      </c>
      <c r="C21" s="130">
        <v>2638715</v>
      </c>
      <c r="D21" s="129">
        <f>_xlfn.COMPOUNDVALUE(258)</f>
        <v>159</v>
      </c>
      <c r="E21" s="130">
        <v>105738</v>
      </c>
      <c r="F21" s="129">
        <f>_xlfn.COMPOUNDVALUE(259)</f>
        <v>644</v>
      </c>
      <c r="G21" s="130">
        <v>2744453</v>
      </c>
      <c r="H21" s="129">
        <f>_xlfn.COMPOUNDVALUE(260)</f>
        <v>32</v>
      </c>
      <c r="I21" s="131">
        <v>612321</v>
      </c>
      <c r="J21" s="129">
        <v>38</v>
      </c>
      <c r="K21" s="131">
        <v>9134</v>
      </c>
      <c r="L21" s="129">
        <v>682</v>
      </c>
      <c r="M21" s="131">
        <v>2141266</v>
      </c>
      <c r="N21" s="14" t="s">
        <v>107</v>
      </c>
    </row>
    <row r="22" spans="1:14" ht="15.75" customHeight="1">
      <c r="A22" s="13" t="s">
        <v>194</v>
      </c>
      <c r="B22" s="129">
        <f>_xlfn.COMPOUNDVALUE(261)</f>
        <v>898</v>
      </c>
      <c r="C22" s="130">
        <v>6382246</v>
      </c>
      <c r="D22" s="129">
        <f>_xlfn.COMPOUNDVALUE(262)</f>
        <v>408</v>
      </c>
      <c r="E22" s="130">
        <v>231339</v>
      </c>
      <c r="F22" s="129">
        <f>_xlfn.COMPOUNDVALUE(263)</f>
        <v>1306</v>
      </c>
      <c r="G22" s="130">
        <v>6613584</v>
      </c>
      <c r="H22" s="129">
        <f>_xlfn.COMPOUNDVALUE(264)</f>
        <v>44</v>
      </c>
      <c r="I22" s="131">
        <v>127692</v>
      </c>
      <c r="J22" s="129">
        <v>105</v>
      </c>
      <c r="K22" s="131">
        <v>24343</v>
      </c>
      <c r="L22" s="129">
        <v>1371</v>
      </c>
      <c r="M22" s="131">
        <v>6510235</v>
      </c>
      <c r="N22" s="14" t="s">
        <v>108</v>
      </c>
    </row>
    <row r="23" spans="1:14" ht="15.75" customHeight="1">
      <c r="A23" s="13" t="s">
        <v>195</v>
      </c>
      <c r="B23" s="129">
        <f>_xlfn.COMPOUNDVALUE(265)</f>
        <v>649</v>
      </c>
      <c r="C23" s="130">
        <v>3622304</v>
      </c>
      <c r="D23" s="129">
        <f>_xlfn.COMPOUNDVALUE(266)</f>
        <v>230</v>
      </c>
      <c r="E23" s="130">
        <v>131676</v>
      </c>
      <c r="F23" s="129">
        <f>_xlfn.COMPOUNDVALUE(267)</f>
        <v>879</v>
      </c>
      <c r="G23" s="130">
        <v>3753980</v>
      </c>
      <c r="H23" s="129">
        <f>_xlfn.COMPOUNDVALUE(268)</f>
        <v>47</v>
      </c>
      <c r="I23" s="131">
        <v>256268</v>
      </c>
      <c r="J23" s="129">
        <v>47</v>
      </c>
      <c r="K23" s="131">
        <v>31081</v>
      </c>
      <c r="L23" s="129">
        <v>938</v>
      </c>
      <c r="M23" s="131">
        <v>3528794</v>
      </c>
      <c r="N23" s="14" t="s">
        <v>109</v>
      </c>
    </row>
    <row r="24" spans="1:14" ht="15.75" customHeight="1">
      <c r="A24" s="13" t="s">
        <v>196</v>
      </c>
      <c r="B24" s="129">
        <f>_xlfn.COMPOUNDVALUE(269)</f>
        <v>468</v>
      </c>
      <c r="C24" s="130">
        <v>2936641</v>
      </c>
      <c r="D24" s="129">
        <f>_xlfn.COMPOUNDVALUE(270)</f>
        <v>136</v>
      </c>
      <c r="E24" s="130">
        <v>85694</v>
      </c>
      <c r="F24" s="129">
        <f>_xlfn.COMPOUNDVALUE(271)</f>
        <v>604</v>
      </c>
      <c r="G24" s="130">
        <v>3022335</v>
      </c>
      <c r="H24" s="129">
        <f>_xlfn.COMPOUNDVALUE(272)</f>
        <v>33</v>
      </c>
      <c r="I24" s="131">
        <v>420896</v>
      </c>
      <c r="J24" s="129">
        <v>27</v>
      </c>
      <c r="K24" s="131">
        <v>2631</v>
      </c>
      <c r="L24" s="129">
        <v>643</v>
      </c>
      <c r="M24" s="131">
        <v>2604070</v>
      </c>
      <c r="N24" s="14" t="s">
        <v>110</v>
      </c>
    </row>
    <row r="25" spans="1:14" ht="15.75" customHeight="1">
      <c r="A25" s="15" t="s">
        <v>197</v>
      </c>
      <c r="B25" s="132">
        <v>9990</v>
      </c>
      <c r="C25" s="133">
        <v>74539556</v>
      </c>
      <c r="D25" s="132">
        <v>3801</v>
      </c>
      <c r="E25" s="133">
        <v>2334106</v>
      </c>
      <c r="F25" s="132">
        <v>13791</v>
      </c>
      <c r="G25" s="133">
        <v>76873662</v>
      </c>
      <c r="H25" s="132">
        <v>615</v>
      </c>
      <c r="I25" s="134">
        <v>5260871</v>
      </c>
      <c r="J25" s="132">
        <v>922</v>
      </c>
      <c r="K25" s="134">
        <v>355593</v>
      </c>
      <c r="L25" s="132">
        <v>14564</v>
      </c>
      <c r="M25" s="134">
        <v>71968384</v>
      </c>
      <c r="N25" s="16" t="s">
        <v>111</v>
      </c>
    </row>
    <row r="26" spans="1:14" ht="15.75" customHeight="1">
      <c r="A26" s="182"/>
      <c r="B26" s="190"/>
      <c r="C26" s="181"/>
      <c r="D26" s="187"/>
      <c r="E26" s="189"/>
      <c r="F26" s="187"/>
      <c r="G26" s="189"/>
      <c r="H26" s="187"/>
      <c r="I26" s="189"/>
      <c r="J26" s="187"/>
      <c r="K26" s="185"/>
      <c r="L26" s="190"/>
      <c r="M26" s="181"/>
      <c r="N26" s="183"/>
    </row>
    <row r="27" spans="1:14" ht="15.75" customHeight="1">
      <c r="A27" s="11" t="s">
        <v>198</v>
      </c>
      <c r="B27" s="126">
        <f>_xlfn.COMPOUNDVALUE(273)</f>
        <v>5187</v>
      </c>
      <c r="C27" s="127">
        <v>63091251</v>
      </c>
      <c r="D27" s="126">
        <f>_xlfn.COMPOUNDVALUE(274)</f>
        <v>2259</v>
      </c>
      <c r="E27" s="127">
        <v>1507129</v>
      </c>
      <c r="F27" s="126">
        <f>_xlfn.COMPOUNDVALUE(275)</f>
        <v>7446</v>
      </c>
      <c r="G27" s="127">
        <v>64598380</v>
      </c>
      <c r="H27" s="126">
        <f>_xlfn.COMPOUNDVALUE(276)</f>
        <v>354</v>
      </c>
      <c r="I27" s="128">
        <v>1762039</v>
      </c>
      <c r="J27" s="126">
        <v>379</v>
      </c>
      <c r="K27" s="128">
        <v>59807</v>
      </c>
      <c r="L27" s="126">
        <v>7852</v>
      </c>
      <c r="M27" s="128">
        <v>62896148</v>
      </c>
      <c r="N27" s="24" t="s">
        <v>112</v>
      </c>
    </row>
    <row r="28" spans="1:14" ht="15.75" customHeight="1">
      <c r="A28" s="13" t="s">
        <v>199</v>
      </c>
      <c r="B28" s="129">
        <f>_xlfn.COMPOUNDVALUE(277)</f>
        <v>4911</v>
      </c>
      <c r="C28" s="130">
        <v>58845469</v>
      </c>
      <c r="D28" s="129">
        <f>_xlfn.COMPOUNDVALUE(278)</f>
        <v>1639</v>
      </c>
      <c r="E28" s="130">
        <v>1148585</v>
      </c>
      <c r="F28" s="129">
        <f>_xlfn.COMPOUNDVALUE(279)</f>
        <v>6550</v>
      </c>
      <c r="G28" s="130">
        <v>59994054</v>
      </c>
      <c r="H28" s="129">
        <f>_xlfn.COMPOUNDVALUE(280)</f>
        <v>304</v>
      </c>
      <c r="I28" s="131">
        <v>1453519</v>
      </c>
      <c r="J28" s="129">
        <v>376</v>
      </c>
      <c r="K28" s="131">
        <v>350480</v>
      </c>
      <c r="L28" s="129">
        <v>6902</v>
      </c>
      <c r="M28" s="131">
        <v>58891016</v>
      </c>
      <c r="N28" s="14" t="s">
        <v>113</v>
      </c>
    </row>
    <row r="29" spans="1:14" ht="15.75" customHeight="1">
      <c r="A29" s="13" t="s">
        <v>200</v>
      </c>
      <c r="B29" s="129">
        <f>_xlfn.COMPOUNDVALUE(281)</f>
        <v>2512</v>
      </c>
      <c r="C29" s="130">
        <v>17613077</v>
      </c>
      <c r="D29" s="129">
        <f>_xlfn.COMPOUNDVALUE(282)</f>
        <v>1069</v>
      </c>
      <c r="E29" s="130">
        <v>639104</v>
      </c>
      <c r="F29" s="129">
        <f>_xlfn.COMPOUNDVALUE(283)</f>
        <v>3581</v>
      </c>
      <c r="G29" s="130">
        <v>18252181</v>
      </c>
      <c r="H29" s="129">
        <f>_xlfn.COMPOUNDVALUE(284)</f>
        <v>172</v>
      </c>
      <c r="I29" s="131">
        <v>898044</v>
      </c>
      <c r="J29" s="129">
        <v>109</v>
      </c>
      <c r="K29" s="131">
        <v>38303</v>
      </c>
      <c r="L29" s="129">
        <v>3783</v>
      </c>
      <c r="M29" s="131">
        <v>17392439</v>
      </c>
      <c r="N29" s="14" t="s">
        <v>114</v>
      </c>
    </row>
    <row r="30" spans="1:14" ht="15.75" customHeight="1">
      <c r="A30" s="13" t="s">
        <v>201</v>
      </c>
      <c r="B30" s="129">
        <f>_xlfn.COMPOUNDVALUE(285)</f>
        <v>2148</v>
      </c>
      <c r="C30" s="130">
        <v>11595870</v>
      </c>
      <c r="D30" s="129">
        <f>_xlfn.COMPOUNDVALUE(286)</f>
        <v>707</v>
      </c>
      <c r="E30" s="130">
        <v>452802</v>
      </c>
      <c r="F30" s="129">
        <f>_xlfn.COMPOUNDVALUE(287)</f>
        <v>2855</v>
      </c>
      <c r="G30" s="130">
        <v>12048672</v>
      </c>
      <c r="H30" s="129">
        <f>_xlfn.COMPOUNDVALUE(288)</f>
        <v>175</v>
      </c>
      <c r="I30" s="131">
        <v>1809043</v>
      </c>
      <c r="J30" s="129">
        <v>155</v>
      </c>
      <c r="K30" s="131">
        <v>-3767</v>
      </c>
      <c r="L30" s="129">
        <v>3059</v>
      </c>
      <c r="M30" s="131">
        <v>10235862</v>
      </c>
      <c r="N30" s="14" t="s">
        <v>115</v>
      </c>
    </row>
    <row r="31" spans="1:14" ht="15.75" customHeight="1">
      <c r="A31" s="13" t="s">
        <v>202</v>
      </c>
      <c r="B31" s="129">
        <f>_xlfn.COMPOUNDVALUE(289)</f>
        <v>1474</v>
      </c>
      <c r="C31" s="130">
        <v>7153626</v>
      </c>
      <c r="D31" s="129">
        <f>_xlfn.COMPOUNDVALUE(290)</f>
        <v>609</v>
      </c>
      <c r="E31" s="130">
        <v>368171</v>
      </c>
      <c r="F31" s="129">
        <f>_xlfn.COMPOUNDVALUE(291)</f>
        <v>2083</v>
      </c>
      <c r="G31" s="130">
        <v>7521797</v>
      </c>
      <c r="H31" s="129">
        <f>_xlfn.COMPOUNDVALUE(292)</f>
        <v>107</v>
      </c>
      <c r="I31" s="131">
        <v>647862</v>
      </c>
      <c r="J31" s="129">
        <v>142</v>
      </c>
      <c r="K31" s="131">
        <v>4349</v>
      </c>
      <c r="L31" s="129">
        <v>2216</v>
      </c>
      <c r="M31" s="131">
        <v>6878284</v>
      </c>
      <c r="N31" s="14" t="s">
        <v>116</v>
      </c>
    </row>
    <row r="32" spans="1:14" ht="15.75" customHeight="1">
      <c r="A32" s="13" t="s">
        <v>203</v>
      </c>
      <c r="B32" s="129">
        <f>_xlfn.COMPOUNDVALUE(293)</f>
        <v>1633</v>
      </c>
      <c r="C32" s="130">
        <v>8319359</v>
      </c>
      <c r="D32" s="129">
        <f>_xlfn.COMPOUNDVALUE(294)</f>
        <v>647</v>
      </c>
      <c r="E32" s="130">
        <v>381358</v>
      </c>
      <c r="F32" s="129">
        <f>_xlfn.COMPOUNDVALUE(295)</f>
        <v>2280</v>
      </c>
      <c r="G32" s="130">
        <v>8700717</v>
      </c>
      <c r="H32" s="129">
        <f>_xlfn.COMPOUNDVALUE(296)</f>
        <v>99</v>
      </c>
      <c r="I32" s="131">
        <v>443177</v>
      </c>
      <c r="J32" s="129">
        <v>118</v>
      </c>
      <c r="K32" s="131">
        <v>25650</v>
      </c>
      <c r="L32" s="129">
        <v>2409</v>
      </c>
      <c r="M32" s="131">
        <v>8283190</v>
      </c>
      <c r="N32" s="14" t="s">
        <v>117</v>
      </c>
    </row>
    <row r="33" spans="1:14" ht="15.75" customHeight="1">
      <c r="A33" s="13" t="s">
        <v>204</v>
      </c>
      <c r="B33" s="129">
        <f>_xlfn.COMPOUNDVALUE(297)</f>
        <v>819</v>
      </c>
      <c r="C33" s="130">
        <v>4600344</v>
      </c>
      <c r="D33" s="129">
        <f>_xlfn.COMPOUNDVALUE(298)</f>
        <v>250</v>
      </c>
      <c r="E33" s="130">
        <v>157785</v>
      </c>
      <c r="F33" s="129">
        <f>_xlfn.COMPOUNDVALUE(299)</f>
        <v>1069</v>
      </c>
      <c r="G33" s="130">
        <v>4758129</v>
      </c>
      <c r="H33" s="129">
        <f>_xlfn.COMPOUNDVALUE(300)</f>
        <v>83</v>
      </c>
      <c r="I33" s="131">
        <v>1783315</v>
      </c>
      <c r="J33" s="129">
        <v>56</v>
      </c>
      <c r="K33" s="131">
        <v>46266</v>
      </c>
      <c r="L33" s="129">
        <v>1185</v>
      </c>
      <c r="M33" s="131">
        <v>3021079</v>
      </c>
      <c r="N33" s="14" t="s">
        <v>118</v>
      </c>
    </row>
    <row r="34" spans="1:14" ht="15.75" customHeight="1">
      <c r="A34" s="13" t="s">
        <v>205</v>
      </c>
      <c r="B34" s="129">
        <f>_xlfn.COMPOUNDVALUE(301)</f>
        <v>1221</v>
      </c>
      <c r="C34" s="130">
        <v>5764852</v>
      </c>
      <c r="D34" s="129">
        <f>_xlfn.COMPOUNDVALUE(302)</f>
        <v>513</v>
      </c>
      <c r="E34" s="130">
        <v>287653</v>
      </c>
      <c r="F34" s="129">
        <f>_xlfn.COMPOUNDVALUE(303)</f>
        <v>1734</v>
      </c>
      <c r="G34" s="130">
        <v>6052505</v>
      </c>
      <c r="H34" s="129">
        <f>_xlfn.COMPOUNDVALUE(304)</f>
        <v>84</v>
      </c>
      <c r="I34" s="131">
        <v>379973</v>
      </c>
      <c r="J34" s="129">
        <v>89</v>
      </c>
      <c r="K34" s="131">
        <v>23333</v>
      </c>
      <c r="L34" s="129">
        <v>1831</v>
      </c>
      <c r="M34" s="131">
        <v>5695864</v>
      </c>
      <c r="N34" s="14" t="s">
        <v>119</v>
      </c>
    </row>
    <row r="35" spans="1:14" ht="15.75" customHeight="1">
      <c r="A35" s="13" t="s">
        <v>206</v>
      </c>
      <c r="B35" s="129">
        <f>_xlfn.COMPOUNDVALUE(305)</f>
        <v>593</v>
      </c>
      <c r="C35" s="130">
        <v>3337286</v>
      </c>
      <c r="D35" s="129">
        <f>_xlfn.COMPOUNDVALUE(306)</f>
        <v>224</v>
      </c>
      <c r="E35" s="130">
        <v>136988</v>
      </c>
      <c r="F35" s="129">
        <f>_xlfn.COMPOUNDVALUE(307)</f>
        <v>817</v>
      </c>
      <c r="G35" s="130">
        <v>3474274</v>
      </c>
      <c r="H35" s="129">
        <f>_xlfn.COMPOUNDVALUE(308)</f>
        <v>43</v>
      </c>
      <c r="I35" s="131">
        <v>601840</v>
      </c>
      <c r="J35" s="129">
        <v>48</v>
      </c>
      <c r="K35" s="131">
        <v>2564</v>
      </c>
      <c r="L35" s="129">
        <v>864</v>
      </c>
      <c r="M35" s="131">
        <v>2874998</v>
      </c>
      <c r="N35" s="14" t="s">
        <v>120</v>
      </c>
    </row>
    <row r="36" spans="1:14" ht="15.75" customHeight="1">
      <c r="A36" s="13" t="s">
        <v>207</v>
      </c>
      <c r="B36" s="129">
        <f>_xlfn.COMPOUNDVALUE(309)</f>
        <v>743</v>
      </c>
      <c r="C36" s="130">
        <v>4090454</v>
      </c>
      <c r="D36" s="129">
        <f>_xlfn.COMPOUNDVALUE(310)</f>
        <v>304</v>
      </c>
      <c r="E36" s="130">
        <v>183992</v>
      </c>
      <c r="F36" s="129">
        <f>_xlfn.COMPOUNDVALUE(311)</f>
        <v>1047</v>
      </c>
      <c r="G36" s="130">
        <v>4274446</v>
      </c>
      <c r="H36" s="129">
        <f>_xlfn.COMPOUNDVALUE(312)</f>
        <v>56</v>
      </c>
      <c r="I36" s="131">
        <v>327790</v>
      </c>
      <c r="J36" s="129">
        <v>61</v>
      </c>
      <c r="K36" s="131">
        <v>3281</v>
      </c>
      <c r="L36" s="129">
        <v>1109</v>
      </c>
      <c r="M36" s="131">
        <v>3949937</v>
      </c>
      <c r="N36" s="14" t="s">
        <v>121</v>
      </c>
    </row>
    <row r="37" spans="1:14" ht="15.75" customHeight="1">
      <c r="A37" s="15" t="s">
        <v>208</v>
      </c>
      <c r="B37" s="132">
        <v>21241</v>
      </c>
      <c r="C37" s="133">
        <v>184411589</v>
      </c>
      <c r="D37" s="132">
        <v>8221</v>
      </c>
      <c r="E37" s="133">
        <v>5263566</v>
      </c>
      <c r="F37" s="132">
        <v>29462</v>
      </c>
      <c r="G37" s="133">
        <v>189675155</v>
      </c>
      <c r="H37" s="132">
        <v>1477</v>
      </c>
      <c r="I37" s="134">
        <v>10106602</v>
      </c>
      <c r="J37" s="132">
        <v>1533</v>
      </c>
      <c r="K37" s="134">
        <v>550265</v>
      </c>
      <c r="L37" s="132">
        <v>31210</v>
      </c>
      <c r="M37" s="134">
        <v>180118818</v>
      </c>
      <c r="N37" s="16" t="s">
        <v>122</v>
      </c>
    </row>
    <row r="38" spans="1:14" ht="15.75" customHeight="1">
      <c r="A38" s="182"/>
      <c r="B38" s="190"/>
      <c r="C38" s="181"/>
      <c r="D38" s="187"/>
      <c r="E38" s="189"/>
      <c r="F38" s="187"/>
      <c r="G38" s="189"/>
      <c r="H38" s="187"/>
      <c r="I38" s="189"/>
      <c r="J38" s="187"/>
      <c r="K38" s="185"/>
      <c r="L38" s="190"/>
      <c r="M38" s="181"/>
      <c r="N38" s="183"/>
    </row>
    <row r="39" spans="1:14" ht="15.75" customHeight="1">
      <c r="A39" s="11" t="s">
        <v>209</v>
      </c>
      <c r="B39" s="126">
        <f>_xlfn.COMPOUNDVALUE(313)</f>
        <v>2266</v>
      </c>
      <c r="C39" s="127">
        <v>17036283</v>
      </c>
      <c r="D39" s="126">
        <f>_xlfn.COMPOUNDVALUE(314)</f>
        <v>959</v>
      </c>
      <c r="E39" s="127">
        <v>578492</v>
      </c>
      <c r="F39" s="126">
        <f>_xlfn.COMPOUNDVALUE(315)</f>
        <v>3225</v>
      </c>
      <c r="G39" s="127">
        <v>17614775</v>
      </c>
      <c r="H39" s="126">
        <f>_xlfn.COMPOUNDVALUE(316)</f>
        <v>94</v>
      </c>
      <c r="I39" s="128">
        <v>719894</v>
      </c>
      <c r="J39" s="126">
        <v>226</v>
      </c>
      <c r="K39" s="128">
        <v>29385</v>
      </c>
      <c r="L39" s="126">
        <v>3343</v>
      </c>
      <c r="M39" s="128">
        <v>16924266</v>
      </c>
      <c r="N39" s="12" t="s">
        <v>123</v>
      </c>
    </row>
    <row r="40" spans="1:14" ht="15.75" customHeight="1">
      <c r="A40" s="13" t="s">
        <v>210</v>
      </c>
      <c r="B40" s="129">
        <f>_xlfn.COMPOUNDVALUE(317)</f>
        <v>1076</v>
      </c>
      <c r="C40" s="130">
        <v>6402924</v>
      </c>
      <c r="D40" s="129">
        <f>_xlfn.COMPOUNDVALUE(318)</f>
        <v>453</v>
      </c>
      <c r="E40" s="130">
        <v>249036</v>
      </c>
      <c r="F40" s="129">
        <f>_xlfn.COMPOUNDVALUE(319)</f>
        <v>1529</v>
      </c>
      <c r="G40" s="130">
        <v>6651960</v>
      </c>
      <c r="H40" s="129">
        <f>_xlfn.COMPOUNDVALUE(320)</f>
        <v>70</v>
      </c>
      <c r="I40" s="131">
        <v>442352</v>
      </c>
      <c r="J40" s="129">
        <v>59</v>
      </c>
      <c r="K40" s="131">
        <v>-5374</v>
      </c>
      <c r="L40" s="129">
        <v>1612</v>
      </c>
      <c r="M40" s="131">
        <v>6204233</v>
      </c>
      <c r="N40" s="14" t="s">
        <v>124</v>
      </c>
    </row>
    <row r="41" spans="1:14" ht="15.75" customHeight="1">
      <c r="A41" s="13" t="s">
        <v>211</v>
      </c>
      <c r="B41" s="129">
        <f>_xlfn.COMPOUNDVALUE(321)</f>
        <v>663</v>
      </c>
      <c r="C41" s="130">
        <v>2968261</v>
      </c>
      <c r="D41" s="129">
        <f>_xlfn.COMPOUNDVALUE(322)</f>
        <v>284</v>
      </c>
      <c r="E41" s="130">
        <v>151977</v>
      </c>
      <c r="F41" s="129">
        <f>_xlfn.COMPOUNDVALUE(323)</f>
        <v>947</v>
      </c>
      <c r="G41" s="130">
        <v>3120238</v>
      </c>
      <c r="H41" s="129">
        <f>_xlfn.COMPOUNDVALUE(324)</f>
        <v>30</v>
      </c>
      <c r="I41" s="131">
        <v>1090926</v>
      </c>
      <c r="J41" s="129">
        <v>43</v>
      </c>
      <c r="K41" s="131">
        <v>3521</v>
      </c>
      <c r="L41" s="129">
        <v>983</v>
      </c>
      <c r="M41" s="131">
        <v>2032834</v>
      </c>
      <c r="N41" s="14" t="s">
        <v>125</v>
      </c>
    </row>
    <row r="42" spans="1:14" ht="15.75" customHeight="1">
      <c r="A42" s="13" t="s">
        <v>212</v>
      </c>
      <c r="B42" s="129">
        <f>_xlfn.COMPOUNDVALUE(325)</f>
        <v>699</v>
      </c>
      <c r="C42" s="130">
        <v>3580366</v>
      </c>
      <c r="D42" s="129">
        <f>_xlfn.COMPOUNDVALUE(326)</f>
        <v>297</v>
      </c>
      <c r="E42" s="130">
        <v>169243</v>
      </c>
      <c r="F42" s="129">
        <f>_xlfn.COMPOUNDVALUE(327)</f>
        <v>996</v>
      </c>
      <c r="G42" s="130">
        <v>3749609</v>
      </c>
      <c r="H42" s="129">
        <f>_xlfn.COMPOUNDVALUE(328)</f>
        <v>51</v>
      </c>
      <c r="I42" s="131">
        <v>73201</v>
      </c>
      <c r="J42" s="129">
        <v>47</v>
      </c>
      <c r="K42" s="131">
        <v>961</v>
      </c>
      <c r="L42" s="129">
        <v>1060</v>
      </c>
      <c r="M42" s="131">
        <v>3677369</v>
      </c>
      <c r="N42" s="14" t="s">
        <v>126</v>
      </c>
    </row>
    <row r="43" spans="1:14" ht="15.75" customHeight="1">
      <c r="A43" s="13" t="s">
        <v>213</v>
      </c>
      <c r="B43" s="129">
        <f>_xlfn.COMPOUNDVALUE(329)</f>
        <v>1197</v>
      </c>
      <c r="C43" s="130">
        <v>7207693</v>
      </c>
      <c r="D43" s="129">
        <f>_xlfn.COMPOUNDVALUE(330)</f>
        <v>467</v>
      </c>
      <c r="E43" s="130">
        <v>256916</v>
      </c>
      <c r="F43" s="129">
        <f>_xlfn.COMPOUNDVALUE(331)</f>
        <v>1664</v>
      </c>
      <c r="G43" s="130">
        <v>7464609</v>
      </c>
      <c r="H43" s="129">
        <f>_xlfn.COMPOUNDVALUE(332)</f>
        <v>97</v>
      </c>
      <c r="I43" s="131">
        <v>325371</v>
      </c>
      <c r="J43" s="129">
        <v>82</v>
      </c>
      <c r="K43" s="131">
        <v>1774</v>
      </c>
      <c r="L43" s="129">
        <v>1771</v>
      </c>
      <c r="M43" s="131">
        <v>7141013</v>
      </c>
      <c r="N43" s="14" t="s">
        <v>127</v>
      </c>
    </row>
    <row r="44" spans="1:14" ht="15.75" customHeight="1">
      <c r="A44" s="13" t="s">
        <v>214</v>
      </c>
      <c r="B44" s="129">
        <f>_xlfn.COMPOUNDVALUE(333)</f>
        <v>765</v>
      </c>
      <c r="C44" s="130">
        <v>5669114</v>
      </c>
      <c r="D44" s="129">
        <f>_xlfn.COMPOUNDVALUE(334)</f>
        <v>305</v>
      </c>
      <c r="E44" s="130">
        <v>174297</v>
      </c>
      <c r="F44" s="129">
        <f>_xlfn.COMPOUNDVALUE(335)</f>
        <v>1070</v>
      </c>
      <c r="G44" s="130">
        <v>5843410</v>
      </c>
      <c r="H44" s="129">
        <f>_xlfn.COMPOUNDVALUE(336)</f>
        <v>63</v>
      </c>
      <c r="I44" s="131">
        <v>559114</v>
      </c>
      <c r="J44" s="129">
        <v>52</v>
      </c>
      <c r="K44" s="131">
        <v>-4236</v>
      </c>
      <c r="L44" s="129">
        <v>1136</v>
      </c>
      <c r="M44" s="131">
        <v>5280060</v>
      </c>
      <c r="N44" s="14" t="s">
        <v>128</v>
      </c>
    </row>
    <row r="45" spans="1:14" ht="15.75" customHeight="1">
      <c r="A45" s="13" t="s">
        <v>215</v>
      </c>
      <c r="B45" s="129">
        <f>_xlfn.COMPOUNDVALUE(337)</f>
        <v>494</v>
      </c>
      <c r="C45" s="130">
        <v>2919679</v>
      </c>
      <c r="D45" s="129">
        <f>_xlfn.COMPOUNDVALUE(338)</f>
        <v>173</v>
      </c>
      <c r="E45" s="130">
        <v>95544</v>
      </c>
      <c r="F45" s="129">
        <f>_xlfn.COMPOUNDVALUE(339)</f>
        <v>667</v>
      </c>
      <c r="G45" s="130">
        <v>3015223</v>
      </c>
      <c r="H45" s="129">
        <f>_xlfn.COMPOUNDVALUE(340)</f>
        <v>34</v>
      </c>
      <c r="I45" s="131">
        <v>268077</v>
      </c>
      <c r="J45" s="129">
        <v>32</v>
      </c>
      <c r="K45" s="131">
        <v>-458</v>
      </c>
      <c r="L45" s="129">
        <v>707</v>
      </c>
      <c r="M45" s="131">
        <v>2746688</v>
      </c>
      <c r="N45" s="14" t="s">
        <v>129</v>
      </c>
    </row>
    <row r="46" spans="1:14" ht="15.75" customHeight="1">
      <c r="A46" s="13" t="s">
        <v>216</v>
      </c>
      <c r="B46" s="129">
        <f>_xlfn.COMPOUNDVALUE(341)</f>
        <v>1071</v>
      </c>
      <c r="C46" s="130">
        <v>5349374</v>
      </c>
      <c r="D46" s="129">
        <f>_xlfn.COMPOUNDVALUE(342)</f>
        <v>429</v>
      </c>
      <c r="E46" s="130">
        <v>249453</v>
      </c>
      <c r="F46" s="129">
        <f>_xlfn.COMPOUNDVALUE(343)</f>
        <v>1500</v>
      </c>
      <c r="G46" s="130">
        <v>5598828</v>
      </c>
      <c r="H46" s="129">
        <f>_xlfn.COMPOUNDVALUE(344)</f>
        <v>63</v>
      </c>
      <c r="I46" s="131">
        <v>181784</v>
      </c>
      <c r="J46" s="129">
        <v>78</v>
      </c>
      <c r="K46" s="131">
        <v>34806</v>
      </c>
      <c r="L46" s="129">
        <v>1570</v>
      </c>
      <c r="M46" s="131">
        <v>5451850</v>
      </c>
      <c r="N46" s="14" t="s">
        <v>130</v>
      </c>
    </row>
    <row r="47" spans="1:14" ht="15.75" customHeight="1">
      <c r="A47" s="15" t="s">
        <v>217</v>
      </c>
      <c r="B47" s="132">
        <v>8231</v>
      </c>
      <c r="C47" s="133">
        <v>51133695</v>
      </c>
      <c r="D47" s="132">
        <v>3367</v>
      </c>
      <c r="E47" s="133">
        <v>1924957</v>
      </c>
      <c r="F47" s="132">
        <v>11598</v>
      </c>
      <c r="G47" s="133">
        <v>53058652</v>
      </c>
      <c r="H47" s="132">
        <v>502</v>
      </c>
      <c r="I47" s="134">
        <v>3660719</v>
      </c>
      <c r="J47" s="132">
        <v>619</v>
      </c>
      <c r="K47" s="134">
        <v>60378</v>
      </c>
      <c r="L47" s="132">
        <v>12182</v>
      </c>
      <c r="M47" s="134">
        <v>49458312</v>
      </c>
      <c r="N47" s="16" t="s">
        <v>131</v>
      </c>
    </row>
    <row r="48" spans="1:14" ht="15.75" customHeight="1">
      <c r="A48" s="182"/>
      <c r="B48" s="190"/>
      <c r="C48" s="181"/>
      <c r="D48" s="187"/>
      <c r="E48" s="189"/>
      <c r="F48" s="187"/>
      <c r="G48" s="189"/>
      <c r="H48" s="187"/>
      <c r="I48" s="189"/>
      <c r="J48" s="187"/>
      <c r="K48" s="185"/>
      <c r="L48" s="190"/>
      <c r="M48" s="181"/>
      <c r="N48" s="183"/>
    </row>
    <row r="49" spans="1:14" ht="15.75" customHeight="1">
      <c r="A49" s="11" t="s">
        <v>218</v>
      </c>
      <c r="B49" s="126">
        <f>_xlfn.COMPOUNDVALUE(345)</f>
        <v>3522</v>
      </c>
      <c r="C49" s="127">
        <v>28456280</v>
      </c>
      <c r="D49" s="126">
        <f>_xlfn.COMPOUNDVALUE(346)</f>
        <v>1592</v>
      </c>
      <c r="E49" s="127">
        <v>885950</v>
      </c>
      <c r="F49" s="126">
        <f>_xlfn.COMPOUNDVALUE(347)</f>
        <v>5114</v>
      </c>
      <c r="G49" s="127">
        <v>29342229</v>
      </c>
      <c r="H49" s="126">
        <f>_xlfn.COMPOUNDVALUE(348)</f>
        <v>170</v>
      </c>
      <c r="I49" s="128">
        <v>881593</v>
      </c>
      <c r="J49" s="126">
        <v>251</v>
      </c>
      <c r="K49" s="128">
        <v>18649</v>
      </c>
      <c r="L49" s="126">
        <v>5320</v>
      </c>
      <c r="M49" s="128">
        <v>28479286</v>
      </c>
      <c r="N49" s="24" t="s">
        <v>132</v>
      </c>
    </row>
    <row r="50" spans="1:14" ht="15.75" customHeight="1">
      <c r="A50" s="13" t="s">
        <v>219</v>
      </c>
      <c r="B50" s="129">
        <f>_xlfn.COMPOUNDVALUE(349)</f>
        <v>1452</v>
      </c>
      <c r="C50" s="130">
        <v>8979608</v>
      </c>
      <c r="D50" s="129">
        <f>_xlfn.COMPOUNDVALUE(350)</f>
        <v>643</v>
      </c>
      <c r="E50" s="130">
        <v>350130</v>
      </c>
      <c r="F50" s="129">
        <f>_xlfn.COMPOUNDVALUE(351)</f>
        <v>2095</v>
      </c>
      <c r="G50" s="130">
        <v>9329738</v>
      </c>
      <c r="H50" s="129">
        <f>_xlfn.COMPOUNDVALUE(352)</f>
        <v>84</v>
      </c>
      <c r="I50" s="131">
        <v>1259843</v>
      </c>
      <c r="J50" s="129">
        <v>64</v>
      </c>
      <c r="K50" s="131">
        <v>9618</v>
      </c>
      <c r="L50" s="129">
        <v>2189</v>
      </c>
      <c r="M50" s="131">
        <v>8079513</v>
      </c>
      <c r="N50" s="14" t="s">
        <v>133</v>
      </c>
    </row>
    <row r="51" spans="1:14" ht="15.75" customHeight="1">
      <c r="A51" s="13" t="s">
        <v>220</v>
      </c>
      <c r="B51" s="129">
        <f>_xlfn.COMPOUNDVALUE(353)</f>
        <v>1290</v>
      </c>
      <c r="C51" s="130">
        <v>7995313</v>
      </c>
      <c r="D51" s="129">
        <f>_xlfn.COMPOUNDVALUE(354)</f>
        <v>557</v>
      </c>
      <c r="E51" s="130">
        <v>314524</v>
      </c>
      <c r="F51" s="129">
        <f>_xlfn.COMPOUNDVALUE(355)</f>
        <v>1847</v>
      </c>
      <c r="G51" s="130">
        <v>8309837</v>
      </c>
      <c r="H51" s="129">
        <f>_xlfn.COMPOUNDVALUE(356)</f>
        <v>85</v>
      </c>
      <c r="I51" s="131">
        <v>513204</v>
      </c>
      <c r="J51" s="129">
        <v>108</v>
      </c>
      <c r="K51" s="131">
        <v>4417</v>
      </c>
      <c r="L51" s="129">
        <v>1944</v>
      </c>
      <c r="M51" s="131">
        <v>7801050</v>
      </c>
      <c r="N51" s="14" t="s">
        <v>134</v>
      </c>
    </row>
    <row r="52" spans="1:14" ht="15.75" customHeight="1">
      <c r="A52" s="13" t="s">
        <v>221</v>
      </c>
      <c r="B52" s="129">
        <f>_xlfn.COMPOUNDVALUE(357)</f>
        <v>1090</v>
      </c>
      <c r="C52" s="130">
        <v>7283130</v>
      </c>
      <c r="D52" s="129">
        <f>_xlfn.COMPOUNDVALUE(358)</f>
        <v>537</v>
      </c>
      <c r="E52" s="130">
        <v>272935</v>
      </c>
      <c r="F52" s="129">
        <f>_xlfn.COMPOUNDVALUE(359)</f>
        <v>1627</v>
      </c>
      <c r="G52" s="130">
        <v>7556064</v>
      </c>
      <c r="H52" s="129">
        <f>_xlfn.COMPOUNDVALUE(360)</f>
        <v>69</v>
      </c>
      <c r="I52" s="131">
        <v>168343</v>
      </c>
      <c r="J52" s="129">
        <v>70</v>
      </c>
      <c r="K52" s="131">
        <v>-4009</v>
      </c>
      <c r="L52" s="129">
        <v>1705</v>
      </c>
      <c r="M52" s="131">
        <v>7383712</v>
      </c>
      <c r="N52" s="14" t="s">
        <v>135</v>
      </c>
    </row>
    <row r="53" spans="1:14" ht="15.75" customHeight="1">
      <c r="A53" s="13" t="s">
        <v>222</v>
      </c>
      <c r="B53" s="129">
        <f>_xlfn.COMPOUNDVALUE(361)</f>
        <v>670</v>
      </c>
      <c r="C53" s="130">
        <v>3544644</v>
      </c>
      <c r="D53" s="129">
        <f>_xlfn.COMPOUNDVALUE(362)</f>
        <v>245</v>
      </c>
      <c r="E53" s="130">
        <v>140869</v>
      </c>
      <c r="F53" s="129">
        <f>_xlfn.COMPOUNDVALUE(363)</f>
        <v>915</v>
      </c>
      <c r="G53" s="130">
        <v>3685513</v>
      </c>
      <c r="H53" s="129">
        <f>_xlfn.COMPOUNDVALUE(364)</f>
        <v>27</v>
      </c>
      <c r="I53" s="131">
        <v>143255</v>
      </c>
      <c r="J53" s="129">
        <v>51</v>
      </c>
      <c r="K53" s="131">
        <v>12532</v>
      </c>
      <c r="L53" s="129">
        <v>949</v>
      </c>
      <c r="M53" s="131">
        <v>3554789</v>
      </c>
      <c r="N53" s="14" t="s">
        <v>136</v>
      </c>
    </row>
    <row r="54" spans="1:14" ht="15.75" customHeight="1">
      <c r="A54" s="13" t="s">
        <v>223</v>
      </c>
      <c r="B54" s="129">
        <f>_xlfn.COMPOUNDVALUE(365)</f>
        <v>687</v>
      </c>
      <c r="C54" s="130">
        <v>4755114</v>
      </c>
      <c r="D54" s="129">
        <f>_xlfn.COMPOUNDVALUE(366)</f>
        <v>280</v>
      </c>
      <c r="E54" s="130">
        <v>150899</v>
      </c>
      <c r="F54" s="129">
        <f>_xlfn.COMPOUNDVALUE(367)</f>
        <v>967</v>
      </c>
      <c r="G54" s="130">
        <v>4906013</v>
      </c>
      <c r="H54" s="129">
        <f>_xlfn.COMPOUNDVALUE(368)</f>
        <v>29</v>
      </c>
      <c r="I54" s="131">
        <v>60553</v>
      </c>
      <c r="J54" s="129">
        <v>47</v>
      </c>
      <c r="K54" s="131">
        <v>1206</v>
      </c>
      <c r="L54" s="129">
        <v>1000</v>
      </c>
      <c r="M54" s="131">
        <v>4846666</v>
      </c>
      <c r="N54" s="14" t="s">
        <v>137</v>
      </c>
    </row>
    <row r="55" spans="1:14" ht="15.75" customHeight="1">
      <c r="A55" s="13" t="s">
        <v>224</v>
      </c>
      <c r="B55" s="129">
        <f>_xlfn.COMPOUNDVALUE(369)</f>
        <v>718</v>
      </c>
      <c r="C55" s="130">
        <v>4734538</v>
      </c>
      <c r="D55" s="129">
        <f>_xlfn.COMPOUNDVALUE(370)</f>
        <v>240</v>
      </c>
      <c r="E55" s="130">
        <v>137236</v>
      </c>
      <c r="F55" s="129">
        <f>_xlfn.COMPOUNDVALUE(371)</f>
        <v>958</v>
      </c>
      <c r="G55" s="130">
        <v>4871774</v>
      </c>
      <c r="H55" s="129">
        <f>_xlfn.COMPOUNDVALUE(372)</f>
        <v>42</v>
      </c>
      <c r="I55" s="131">
        <v>1675740</v>
      </c>
      <c r="J55" s="129">
        <v>68</v>
      </c>
      <c r="K55" s="131">
        <v>-5821</v>
      </c>
      <c r="L55" s="129">
        <v>1003</v>
      </c>
      <c r="M55" s="131">
        <v>3190212</v>
      </c>
      <c r="N55" s="14" t="s">
        <v>138</v>
      </c>
    </row>
    <row r="56" spans="1:14" ht="15.75" customHeight="1">
      <c r="A56" s="13" t="s">
        <v>225</v>
      </c>
      <c r="B56" s="129">
        <f>_xlfn.COMPOUNDVALUE(373)</f>
        <v>539</v>
      </c>
      <c r="C56" s="130">
        <v>3376926</v>
      </c>
      <c r="D56" s="129">
        <f>_xlfn.COMPOUNDVALUE(374)</f>
        <v>221</v>
      </c>
      <c r="E56" s="130">
        <v>120481</v>
      </c>
      <c r="F56" s="129">
        <f>_xlfn.COMPOUNDVALUE(375)</f>
        <v>760</v>
      </c>
      <c r="G56" s="130">
        <v>3497407</v>
      </c>
      <c r="H56" s="129">
        <f>_xlfn.COMPOUNDVALUE(376)</f>
        <v>30</v>
      </c>
      <c r="I56" s="131">
        <v>105483</v>
      </c>
      <c r="J56" s="129">
        <v>54</v>
      </c>
      <c r="K56" s="131">
        <v>5462</v>
      </c>
      <c r="L56" s="129">
        <v>799</v>
      </c>
      <c r="M56" s="131">
        <v>3397387</v>
      </c>
      <c r="N56" s="14" t="s">
        <v>139</v>
      </c>
    </row>
    <row r="57" spans="1:14" ht="15.75" customHeight="1">
      <c r="A57" s="15" t="s">
        <v>226</v>
      </c>
      <c r="B57" s="132">
        <v>9968</v>
      </c>
      <c r="C57" s="133">
        <v>69125552</v>
      </c>
      <c r="D57" s="132">
        <v>4315</v>
      </c>
      <c r="E57" s="133">
        <v>2373024</v>
      </c>
      <c r="F57" s="132">
        <v>14283</v>
      </c>
      <c r="G57" s="133">
        <v>71498576</v>
      </c>
      <c r="H57" s="132">
        <v>536</v>
      </c>
      <c r="I57" s="134">
        <v>4808014</v>
      </c>
      <c r="J57" s="132">
        <v>713</v>
      </c>
      <c r="K57" s="134">
        <v>42054</v>
      </c>
      <c r="L57" s="132">
        <v>14909</v>
      </c>
      <c r="M57" s="134">
        <v>66732615</v>
      </c>
      <c r="N57" s="16" t="s">
        <v>140</v>
      </c>
    </row>
    <row r="58" spans="1:14" ht="15.75" customHeight="1">
      <c r="A58" s="182"/>
      <c r="B58" s="190"/>
      <c r="C58" s="181"/>
      <c r="D58" s="187"/>
      <c r="E58" s="189"/>
      <c r="F58" s="187"/>
      <c r="G58" s="189"/>
      <c r="H58" s="187"/>
      <c r="I58" s="189"/>
      <c r="J58" s="187"/>
      <c r="K58" s="185"/>
      <c r="L58" s="190"/>
      <c r="M58" s="181"/>
      <c r="N58" s="183"/>
    </row>
    <row r="59" spans="1:14" ht="15.75" customHeight="1">
      <c r="A59" s="11" t="s">
        <v>227</v>
      </c>
      <c r="B59" s="126">
        <f>_xlfn.COMPOUNDVALUE(377)</f>
        <v>3499</v>
      </c>
      <c r="C59" s="127">
        <v>28280563</v>
      </c>
      <c r="D59" s="126">
        <f>_xlfn.COMPOUNDVALUE(378)</f>
        <v>1501</v>
      </c>
      <c r="E59" s="127">
        <v>897846</v>
      </c>
      <c r="F59" s="126">
        <f>_xlfn.COMPOUNDVALUE(379)</f>
        <v>5000</v>
      </c>
      <c r="G59" s="127">
        <v>29178410</v>
      </c>
      <c r="H59" s="126">
        <f>_xlfn.COMPOUNDVALUE(380)</f>
        <v>172</v>
      </c>
      <c r="I59" s="128">
        <v>1430918</v>
      </c>
      <c r="J59" s="126">
        <v>274</v>
      </c>
      <c r="K59" s="128">
        <v>89307</v>
      </c>
      <c r="L59" s="126">
        <v>5232</v>
      </c>
      <c r="M59" s="128">
        <v>27836799</v>
      </c>
      <c r="N59" s="24" t="s">
        <v>142</v>
      </c>
    </row>
    <row r="60" spans="1:14" ht="15.75" customHeight="1">
      <c r="A60" s="11" t="s">
        <v>228</v>
      </c>
      <c r="B60" s="126">
        <f>_xlfn.COMPOUNDVALUE(381)</f>
        <v>1673</v>
      </c>
      <c r="C60" s="127">
        <v>9995811</v>
      </c>
      <c r="D60" s="126">
        <f>_xlfn.COMPOUNDVALUE(382)</f>
        <v>957</v>
      </c>
      <c r="E60" s="127">
        <v>538144</v>
      </c>
      <c r="F60" s="126">
        <f>_xlfn.COMPOUNDVALUE(383)</f>
        <v>2630</v>
      </c>
      <c r="G60" s="127">
        <v>10533956</v>
      </c>
      <c r="H60" s="126">
        <f>_xlfn.COMPOUNDVALUE(384)</f>
        <v>88</v>
      </c>
      <c r="I60" s="128">
        <v>397434</v>
      </c>
      <c r="J60" s="126">
        <v>142</v>
      </c>
      <c r="K60" s="128">
        <v>-21331</v>
      </c>
      <c r="L60" s="126">
        <v>2731</v>
      </c>
      <c r="M60" s="128">
        <v>10115190</v>
      </c>
      <c r="N60" s="12" t="s">
        <v>143</v>
      </c>
    </row>
    <row r="61" spans="1:14" ht="15.75" customHeight="1">
      <c r="A61" s="11" t="s">
        <v>229</v>
      </c>
      <c r="B61" s="126">
        <f>_xlfn.COMPOUNDVALUE(385)</f>
        <v>4566</v>
      </c>
      <c r="C61" s="127">
        <v>38083001</v>
      </c>
      <c r="D61" s="126">
        <f>_xlfn.COMPOUNDVALUE(386)</f>
        <v>1971</v>
      </c>
      <c r="E61" s="127">
        <v>1237672</v>
      </c>
      <c r="F61" s="126">
        <f>_xlfn.COMPOUNDVALUE(387)</f>
        <v>6537</v>
      </c>
      <c r="G61" s="127">
        <v>39320673</v>
      </c>
      <c r="H61" s="126">
        <f>_xlfn.COMPOUNDVALUE(388)</f>
        <v>238</v>
      </c>
      <c r="I61" s="128">
        <v>1667983</v>
      </c>
      <c r="J61" s="126">
        <v>271</v>
      </c>
      <c r="K61" s="128">
        <v>-1979579</v>
      </c>
      <c r="L61" s="126">
        <v>6826</v>
      </c>
      <c r="M61" s="128">
        <v>35673111</v>
      </c>
      <c r="N61" s="12" t="s">
        <v>144</v>
      </c>
    </row>
    <row r="62" spans="1:14" ht="15.75" customHeight="1">
      <c r="A62" s="13" t="s">
        <v>68</v>
      </c>
      <c r="B62" s="129">
        <f>_xlfn.COMPOUNDVALUE(389)</f>
        <v>3594</v>
      </c>
      <c r="C62" s="130">
        <v>23369065</v>
      </c>
      <c r="D62" s="129">
        <f>_xlfn.COMPOUNDVALUE(390)</f>
        <v>1626</v>
      </c>
      <c r="E62" s="130">
        <v>1023873</v>
      </c>
      <c r="F62" s="129">
        <f>_xlfn.COMPOUNDVALUE(391)</f>
        <v>5220</v>
      </c>
      <c r="G62" s="130">
        <v>24392938</v>
      </c>
      <c r="H62" s="129">
        <f>_xlfn.COMPOUNDVALUE(392)</f>
        <v>240</v>
      </c>
      <c r="I62" s="131">
        <v>3107330</v>
      </c>
      <c r="J62" s="129">
        <v>257</v>
      </c>
      <c r="K62" s="131">
        <v>83036</v>
      </c>
      <c r="L62" s="129">
        <v>5504</v>
      </c>
      <c r="M62" s="131">
        <v>21368644</v>
      </c>
      <c r="N62" s="14" t="s">
        <v>68</v>
      </c>
    </row>
    <row r="63" spans="1:14" ht="15.75" customHeight="1">
      <c r="A63" s="13" t="s">
        <v>230</v>
      </c>
      <c r="B63" s="129">
        <f>_xlfn.COMPOUNDVALUE(393)</f>
        <v>1219</v>
      </c>
      <c r="C63" s="130">
        <v>7180330</v>
      </c>
      <c r="D63" s="129">
        <f>_xlfn.COMPOUNDVALUE(394)</f>
        <v>473</v>
      </c>
      <c r="E63" s="130">
        <v>292863</v>
      </c>
      <c r="F63" s="129">
        <f>_xlfn.COMPOUNDVALUE(395)</f>
        <v>1692</v>
      </c>
      <c r="G63" s="130">
        <v>7473193</v>
      </c>
      <c r="H63" s="129">
        <f>_xlfn.COMPOUNDVALUE(396)</f>
        <v>74</v>
      </c>
      <c r="I63" s="131">
        <v>349723</v>
      </c>
      <c r="J63" s="129">
        <v>48</v>
      </c>
      <c r="K63" s="131">
        <v>4877</v>
      </c>
      <c r="L63" s="129">
        <v>1781</v>
      </c>
      <c r="M63" s="131">
        <v>7128347</v>
      </c>
      <c r="N63" s="14" t="s">
        <v>145</v>
      </c>
    </row>
    <row r="64" spans="1:14" ht="15.75" customHeight="1">
      <c r="A64" s="13" t="s">
        <v>231</v>
      </c>
      <c r="B64" s="129">
        <f>_xlfn.COMPOUNDVALUE(397)</f>
        <v>1224</v>
      </c>
      <c r="C64" s="130">
        <v>7146697</v>
      </c>
      <c r="D64" s="129">
        <f>_xlfn.COMPOUNDVALUE(398)</f>
        <v>570</v>
      </c>
      <c r="E64" s="130">
        <v>323606</v>
      </c>
      <c r="F64" s="129">
        <f>_xlfn.COMPOUNDVALUE(399)</f>
        <v>1794</v>
      </c>
      <c r="G64" s="130">
        <v>7470303</v>
      </c>
      <c r="H64" s="129">
        <f>_xlfn.COMPOUNDVALUE(400)</f>
        <v>72</v>
      </c>
      <c r="I64" s="131">
        <v>543521</v>
      </c>
      <c r="J64" s="129">
        <v>64</v>
      </c>
      <c r="K64" s="131">
        <v>11848</v>
      </c>
      <c r="L64" s="129">
        <v>1871</v>
      </c>
      <c r="M64" s="131">
        <v>6938630</v>
      </c>
      <c r="N64" s="14" t="s">
        <v>146</v>
      </c>
    </row>
    <row r="65" spans="1:14" ht="15.75" customHeight="1">
      <c r="A65" s="13" t="s">
        <v>232</v>
      </c>
      <c r="B65" s="129">
        <f>_xlfn.COMPOUNDVALUE(401)</f>
        <v>442</v>
      </c>
      <c r="C65" s="130">
        <v>2227827</v>
      </c>
      <c r="D65" s="129">
        <f>_xlfn.COMPOUNDVALUE(402)</f>
        <v>280</v>
      </c>
      <c r="E65" s="130">
        <v>154072</v>
      </c>
      <c r="F65" s="129">
        <f>_xlfn.COMPOUNDVALUE(403)</f>
        <v>722</v>
      </c>
      <c r="G65" s="130">
        <v>2381899</v>
      </c>
      <c r="H65" s="129">
        <f>_xlfn.COMPOUNDVALUE(404)</f>
        <v>27</v>
      </c>
      <c r="I65" s="131">
        <v>49255</v>
      </c>
      <c r="J65" s="129">
        <v>46</v>
      </c>
      <c r="K65" s="131">
        <v>7189</v>
      </c>
      <c r="L65" s="129">
        <v>764</v>
      </c>
      <c r="M65" s="131">
        <v>2339832</v>
      </c>
      <c r="N65" s="14" t="s">
        <v>147</v>
      </c>
    </row>
    <row r="66" spans="1:14" ht="15.75" customHeight="1">
      <c r="A66" s="13" t="s">
        <v>233</v>
      </c>
      <c r="B66" s="129">
        <f>_xlfn.COMPOUNDVALUE(405)</f>
        <v>1519</v>
      </c>
      <c r="C66" s="130">
        <v>11665575</v>
      </c>
      <c r="D66" s="129">
        <f>_xlfn.COMPOUNDVALUE(406)</f>
        <v>538</v>
      </c>
      <c r="E66" s="130">
        <v>386114</v>
      </c>
      <c r="F66" s="129">
        <f>_xlfn.COMPOUNDVALUE(407)</f>
        <v>2057</v>
      </c>
      <c r="G66" s="130">
        <v>12051689</v>
      </c>
      <c r="H66" s="129">
        <f>_xlfn.COMPOUNDVALUE(408)</f>
        <v>170</v>
      </c>
      <c r="I66" s="131">
        <v>1157429</v>
      </c>
      <c r="J66" s="129">
        <v>176</v>
      </c>
      <c r="K66" s="131">
        <v>53678</v>
      </c>
      <c r="L66" s="129">
        <v>2268</v>
      </c>
      <c r="M66" s="131">
        <v>10947938</v>
      </c>
      <c r="N66" s="14" t="s">
        <v>148</v>
      </c>
    </row>
    <row r="67" spans="1:14" ht="15.75" customHeight="1">
      <c r="A67" s="13" t="s">
        <v>234</v>
      </c>
      <c r="B67" s="129">
        <f>_xlfn.COMPOUNDVALUE(409)</f>
        <v>850</v>
      </c>
      <c r="C67" s="130">
        <v>5729071</v>
      </c>
      <c r="D67" s="129">
        <f>_xlfn.COMPOUNDVALUE(410)</f>
        <v>323</v>
      </c>
      <c r="E67" s="130">
        <v>191619</v>
      </c>
      <c r="F67" s="129">
        <f>_xlfn.COMPOUNDVALUE(411)</f>
        <v>1173</v>
      </c>
      <c r="G67" s="130">
        <v>5920690</v>
      </c>
      <c r="H67" s="129">
        <f>_xlfn.COMPOUNDVALUE(412)</f>
        <v>50</v>
      </c>
      <c r="I67" s="131">
        <v>110042</v>
      </c>
      <c r="J67" s="129">
        <v>53</v>
      </c>
      <c r="K67" s="131">
        <v>9704</v>
      </c>
      <c r="L67" s="129">
        <v>1231</v>
      </c>
      <c r="M67" s="131">
        <v>5820352</v>
      </c>
      <c r="N67" s="14" t="s">
        <v>149</v>
      </c>
    </row>
    <row r="68" spans="1:14" ht="15.75" customHeight="1">
      <c r="A68" s="13" t="s">
        <v>235</v>
      </c>
      <c r="B68" s="129">
        <f>_xlfn.COMPOUNDVALUE(413)</f>
        <v>291</v>
      </c>
      <c r="C68" s="130">
        <v>1069896</v>
      </c>
      <c r="D68" s="129">
        <f>_xlfn.COMPOUNDVALUE(414)</f>
        <v>132</v>
      </c>
      <c r="E68" s="130">
        <v>78207</v>
      </c>
      <c r="F68" s="129">
        <f>_xlfn.COMPOUNDVALUE(415)</f>
        <v>423</v>
      </c>
      <c r="G68" s="130">
        <v>1148103</v>
      </c>
      <c r="H68" s="129">
        <f>_xlfn.COMPOUNDVALUE(416)</f>
        <v>18</v>
      </c>
      <c r="I68" s="131">
        <v>18555</v>
      </c>
      <c r="J68" s="129">
        <v>23</v>
      </c>
      <c r="K68" s="131">
        <v>-23179</v>
      </c>
      <c r="L68" s="129">
        <v>444</v>
      </c>
      <c r="M68" s="131">
        <v>1106369</v>
      </c>
      <c r="N68" s="14" t="s">
        <v>150</v>
      </c>
    </row>
    <row r="69" spans="1:14" ht="15.75" customHeight="1">
      <c r="A69" s="15" t="s">
        <v>236</v>
      </c>
      <c r="B69" s="132">
        <v>18877</v>
      </c>
      <c r="C69" s="133">
        <v>134747836</v>
      </c>
      <c r="D69" s="132">
        <v>8371</v>
      </c>
      <c r="E69" s="133">
        <v>5124016</v>
      </c>
      <c r="F69" s="132">
        <v>27248</v>
      </c>
      <c r="G69" s="133">
        <v>139871852</v>
      </c>
      <c r="H69" s="132">
        <v>1149</v>
      </c>
      <c r="I69" s="134">
        <v>8832191</v>
      </c>
      <c r="J69" s="132">
        <v>1354</v>
      </c>
      <c r="K69" s="134">
        <v>-1764450</v>
      </c>
      <c r="L69" s="132">
        <v>28652</v>
      </c>
      <c r="M69" s="134">
        <v>129275211</v>
      </c>
      <c r="N69" s="16" t="s">
        <v>151</v>
      </c>
    </row>
    <row r="70" spans="1:14" ht="15.75" customHeight="1" thickBot="1">
      <c r="A70" s="18"/>
      <c r="B70" s="138"/>
      <c r="C70" s="139"/>
      <c r="D70" s="138"/>
      <c r="E70" s="139"/>
      <c r="F70" s="140"/>
      <c r="G70" s="139"/>
      <c r="H70" s="140"/>
      <c r="I70" s="139"/>
      <c r="J70" s="140"/>
      <c r="K70" s="139"/>
      <c r="L70" s="140"/>
      <c r="M70" s="139"/>
      <c r="N70" s="19"/>
    </row>
    <row r="71" spans="1:14" ht="15.75" customHeight="1" thickBot="1" thickTop="1">
      <c r="A71" s="21" t="s">
        <v>237</v>
      </c>
      <c r="B71" s="141">
        <v>79080</v>
      </c>
      <c r="C71" s="142">
        <v>732858513</v>
      </c>
      <c r="D71" s="141">
        <v>32130</v>
      </c>
      <c r="E71" s="142">
        <v>19483022</v>
      </c>
      <c r="F71" s="141">
        <v>111210</v>
      </c>
      <c r="G71" s="142">
        <v>752341535</v>
      </c>
      <c r="H71" s="141">
        <v>4826</v>
      </c>
      <c r="I71" s="143">
        <v>38306237</v>
      </c>
      <c r="J71" s="141">
        <v>6044</v>
      </c>
      <c r="K71" s="143">
        <v>-597267</v>
      </c>
      <c r="L71" s="141">
        <v>117017</v>
      </c>
      <c r="M71" s="143">
        <v>713438031</v>
      </c>
      <c r="N71" s="22" t="s">
        <v>94</v>
      </c>
    </row>
    <row r="72" spans="1:14" ht="13.5">
      <c r="A72" s="228" t="s">
        <v>243</v>
      </c>
      <c r="B72" s="228"/>
      <c r="C72" s="228"/>
      <c r="D72" s="228"/>
      <c r="E72" s="228"/>
      <c r="F72" s="228"/>
      <c r="G72" s="228"/>
      <c r="H72" s="228"/>
      <c r="I72" s="228"/>
      <c r="J72" s="25"/>
      <c r="K72" s="25"/>
      <c r="L72" s="2"/>
      <c r="M72" s="2"/>
      <c r="N72" s="2"/>
    </row>
  </sheetData>
  <sheetProtection/>
  <mergeCells count="11">
    <mergeCell ref="L3:M4"/>
    <mergeCell ref="A72:I72"/>
    <mergeCell ref="A2:I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(H28)</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251</v>
      </c>
      <c r="B1" s="1"/>
      <c r="C1" s="1"/>
      <c r="D1" s="1"/>
      <c r="E1" s="1"/>
      <c r="F1" s="1"/>
      <c r="G1" s="1"/>
      <c r="H1" s="1"/>
      <c r="I1" s="1"/>
      <c r="J1" s="1"/>
      <c r="K1" s="1"/>
      <c r="L1" s="2"/>
      <c r="M1" s="2"/>
      <c r="N1" s="2"/>
      <c r="O1" s="2"/>
      <c r="P1" s="2"/>
    </row>
    <row r="2" spans="1:16" ht="14.25" thickBot="1">
      <c r="A2" s="243" t="s">
        <v>84</v>
      </c>
      <c r="B2" s="243"/>
      <c r="C2" s="243"/>
      <c r="D2" s="243"/>
      <c r="E2" s="243"/>
      <c r="F2" s="243"/>
      <c r="G2" s="243"/>
      <c r="H2" s="243"/>
      <c r="I2" s="243"/>
      <c r="J2" s="25"/>
      <c r="K2" s="25"/>
      <c r="L2" s="2"/>
      <c r="M2" s="2"/>
      <c r="N2" s="2"/>
      <c r="O2" s="2"/>
      <c r="P2" s="2"/>
    </row>
    <row r="3" spans="1:18" ht="19.5" customHeight="1">
      <c r="A3" s="229" t="s">
        <v>1</v>
      </c>
      <c r="B3" s="232" t="s">
        <v>2</v>
      </c>
      <c r="C3" s="232"/>
      <c r="D3" s="232"/>
      <c r="E3" s="232"/>
      <c r="F3" s="232"/>
      <c r="G3" s="232"/>
      <c r="H3" s="232" t="s">
        <v>3</v>
      </c>
      <c r="I3" s="232"/>
      <c r="J3" s="249" t="s">
        <v>4</v>
      </c>
      <c r="K3" s="232"/>
      <c r="L3" s="232" t="s">
        <v>5</v>
      </c>
      <c r="M3" s="232"/>
      <c r="N3" s="250" t="s">
        <v>85</v>
      </c>
      <c r="O3" s="251"/>
      <c r="P3" s="251"/>
      <c r="Q3" s="251"/>
      <c r="R3" s="237" t="s">
        <v>77</v>
      </c>
    </row>
    <row r="4" spans="1:18" ht="17.25" customHeight="1">
      <c r="A4" s="230"/>
      <c r="B4" s="240" t="s">
        <v>7</v>
      </c>
      <c r="C4" s="240"/>
      <c r="D4" s="240" t="s">
        <v>8</v>
      </c>
      <c r="E4" s="240"/>
      <c r="F4" s="240" t="s">
        <v>9</v>
      </c>
      <c r="G4" s="240"/>
      <c r="H4" s="240"/>
      <c r="I4" s="240"/>
      <c r="J4" s="240"/>
      <c r="K4" s="240"/>
      <c r="L4" s="240"/>
      <c r="M4" s="240"/>
      <c r="N4" s="252" t="s">
        <v>86</v>
      </c>
      <c r="O4" s="244" t="s">
        <v>87</v>
      </c>
      <c r="P4" s="246" t="s">
        <v>88</v>
      </c>
      <c r="Q4" s="236" t="s">
        <v>89</v>
      </c>
      <c r="R4" s="238"/>
    </row>
    <row r="5" spans="1:18" ht="28.5" customHeight="1">
      <c r="A5" s="231"/>
      <c r="B5" s="33" t="s">
        <v>10</v>
      </c>
      <c r="C5" s="34" t="s">
        <v>11</v>
      </c>
      <c r="D5" s="33" t="s">
        <v>10</v>
      </c>
      <c r="E5" s="34" t="s">
        <v>11</v>
      </c>
      <c r="F5" s="33" t="s">
        <v>10</v>
      </c>
      <c r="G5" s="34" t="s">
        <v>12</v>
      </c>
      <c r="H5" s="33" t="s">
        <v>10</v>
      </c>
      <c r="I5" s="34" t="s">
        <v>13</v>
      </c>
      <c r="J5" s="33" t="s">
        <v>10</v>
      </c>
      <c r="K5" s="34" t="s">
        <v>14</v>
      </c>
      <c r="L5" s="33" t="s">
        <v>10</v>
      </c>
      <c r="M5" s="29" t="s">
        <v>93</v>
      </c>
      <c r="N5" s="253"/>
      <c r="O5" s="245"/>
      <c r="P5" s="247"/>
      <c r="Q5" s="248"/>
      <c r="R5" s="239"/>
    </row>
    <row r="6" spans="1:18" s="27" customFormat="1" ht="10.5">
      <c r="A6" s="5"/>
      <c r="B6" s="6" t="s">
        <v>15</v>
      </c>
      <c r="C6" s="7" t="s">
        <v>16</v>
      </c>
      <c r="D6" s="6" t="s">
        <v>15</v>
      </c>
      <c r="E6" s="7" t="s">
        <v>16</v>
      </c>
      <c r="F6" s="6" t="s">
        <v>15</v>
      </c>
      <c r="G6" s="7" t="s">
        <v>16</v>
      </c>
      <c r="H6" s="6" t="s">
        <v>15</v>
      </c>
      <c r="I6" s="7" t="s">
        <v>16</v>
      </c>
      <c r="J6" s="6" t="s">
        <v>15</v>
      </c>
      <c r="K6" s="7" t="s">
        <v>16</v>
      </c>
      <c r="L6" s="6" t="s">
        <v>249</v>
      </c>
      <c r="M6" s="7" t="s">
        <v>16</v>
      </c>
      <c r="N6" s="6" t="s">
        <v>15</v>
      </c>
      <c r="O6" s="30" t="s">
        <v>15</v>
      </c>
      <c r="P6" s="30" t="s">
        <v>15</v>
      </c>
      <c r="Q6" s="31" t="s">
        <v>15</v>
      </c>
      <c r="R6" s="9"/>
    </row>
    <row r="7" spans="1:18" ht="15.75" customHeight="1">
      <c r="A7" s="11" t="s">
        <v>18</v>
      </c>
      <c r="B7" s="126">
        <f>_xlfn.COMPOUNDVALUE(417)</f>
        <v>3545</v>
      </c>
      <c r="C7" s="127">
        <v>154992139</v>
      </c>
      <c r="D7" s="126">
        <f>_xlfn.COMPOUNDVALUE(418)</f>
        <v>2485</v>
      </c>
      <c r="E7" s="127">
        <v>1307783</v>
      </c>
      <c r="F7" s="126">
        <f>_xlfn.COMPOUNDVALUE(419)</f>
        <v>6030</v>
      </c>
      <c r="G7" s="127">
        <v>156299922</v>
      </c>
      <c r="H7" s="126">
        <f>_xlfn.COMPOUNDVALUE(420)</f>
        <v>186</v>
      </c>
      <c r="I7" s="128">
        <v>625688</v>
      </c>
      <c r="J7" s="126">
        <v>451</v>
      </c>
      <c r="K7" s="128">
        <v>24208</v>
      </c>
      <c r="L7" s="126">
        <v>6280</v>
      </c>
      <c r="M7" s="128">
        <v>155698442</v>
      </c>
      <c r="N7" s="126">
        <v>6357</v>
      </c>
      <c r="O7" s="144">
        <v>184</v>
      </c>
      <c r="P7" s="144">
        <v>14</v>
      </c>
      <c r="Q7" s="145">
        <v>6555</v>
      </c>
      <c r="R7" s="12" t="s">
        <v>96</v>
      </c>
    </row>
    <row r="8" spans="1:18" ht="15.75" customHeight="1">
      <c r="A8" s="13" t="s">
        <v>19</v>
      </c>
      <c r="B8" s="129">
        <f>_xlfn.COMPOUNDVALUE(421)</f>
        <v>2112</v>
      </c>
      <c r="C8" s="130">
        <v>9490684</v>
      </c>
      <c r="D8" s="129">
        <f>_xlfn.COMPOUNDVALUE(422)</f>
        <v>1747</v>
      </c>
      <c r="E8" s="130">
        <v>777158</v>
      </c>
      <c r="F8" s="129">
        <f>_xlfn.COMPOUNDVALUE(423)</f>
        <v>3859</v>
      </c>
      <c r="G8" s="130">
        <v>10267842</v>
      </c>
      <c r="H8" s="129">
        <f>_xlfn.COMPOUNDVALUE(424)</f>
        <v>117</v>
      </c>
      <c r="I8" s="131">
        <v>737588</v>
      </c>
      <c r="J8" s="129">
        <v>222</v>
      </c>
      <c r="K8" s="131">
        <v>39640</v>
      </c>
      <c r="L8" s="129">
        <v>4029</v>
      </c>
      <c r="M8" s="131">
        <v>9569894</v>
      </c>
      <c r="N8" s="126">
        <v>4141</v>
      </c>
      <c r="O8" s="144">
        <v>82</v>
      </c>
      <c r="P8" s="144">
        <v>11</v>
      </c>
      <c r="Q8" s="145">
        <v>4234</v>
      </c>
      <c r="R8" s="14" t="s">
        <v>97</v>
      </c>
    </row>
    <row r="9" spans="1:18" ht="15.75" customHeight="1">
      <c r="A9" s="13" t="s">
        <v>20</v>
      </c>
      <c r="B9" s="129">
        <f>_xlfn.COMPOUNDVALUE(425)</f>
        <v>3738</v>
      </c>
      <c r="C9" s="130">
        <v>21477686</v>
      </c>
      <c r="D9" s="129">
        <f>_xlfn.COMPOUNDVALUE(426)</f>
        <v>2612</v>
      </c>
      <c r="E9" s="130">
        <v>1266215</v>
      </c>
      <c r="F9" s="129">
        <f>_xlfn.COMPOUNDVALUE(427)</f>
        <v>6350</v>
      </c>
      <c r="G9" s="130">
        <v>22743901</v>
      </c>
      <c r="H9" s="129">
        <f>_xlfn.COMPOUNDVALUE(428)</f>
        <v>163</v>
      </c>
      <c r="I9" s="131">
        <v>3294297</v>
      </c>
      <c r="J9" s="129">
        <v>308</v>
      </c>
      <c r="K9" s="131">
        <v>92422</v>
      </c>
      <c r="L9" s="129">
        <v>6588</v>
      </c>
      <c r="M9" s="131">
        <v>19542026</v>
      </c>
      <c r="N9" s="126">
        <v>6482</v>
      </c>
      <c r="O9" s="144">
        <v>152</v>
      </c>
      <c r="P9" s="144">
        <v>14</v>
      </c>
      <c r="Q9" s="145">
        <v>6648</v>
      </c>
      <c r="R9" s="14" t="s">
        <v>98</v>
      </c>
    </row>
    <row r="10" spans="1:18" ht="15.75" customHeight="1">
      <c r="A10" s="13" t="s">
        <v>21</v>
      </c>
      <c r="B10" s="129">
        <f>_xlfn.COMPOUNDVALUE(429)</f>
        <v>881</v>
      </c>
      <c r="C10" s="130">
        <v>3440127</v>
      </c>
      <c r="D10" s="129">
        <f>_xlfn.COMPOUNDVALUE(430)</f>
        <v>810</v>
      </c>
      <c r="E10" s="130">
        <v>331074</v>
      </c>
      <c r="F10" s="129">
        <f>_xlfn.COMPOUNDVALUE(431)</f>
        <v>1691</v>
      </c>
      <c r="G10" s="130">
        <v>3771201</v>
      </c>
      <c r="H10" s="129">
        <f>_xlfn.COMPOUNDVALUE(432)</f>
        <v>42</v>
      </c>
      <c r="I10" s="131">
        <v>68952</v>
      </c>
      <c r="J10" s="129">
        <v>140</v>
      </c>
      <c r="K10" s="131">
        <v>22976</v>
      </c>
      <c r="L10" s="129">
        <v>1774</v>
      </c>
      <c r="M10" s="131">
        <v>3725225</v>
      </c>
      <c r="N10" s="126">
        <v>2139</v>
      </c>
      <c r="O10" s="144">
        <v>28</v>
      </c>
      <c r="P10" s="144">
        <v>3</v>
      </c>
      <c r="Q10" s="145">
        <v>2170</v>
      </c>
      <c r="R10" s="14" t="s">
        <v>99</v>
      </c>
    </row>
    <row r="11" spans="1:18" ht="15.75" customHeight="1">
      <c r="A11" s="13" t="s">
        <v>22</v>
      </c>
      <c r="B11" s="129">
        <f>_xlfn.COMPOUNDVALUE(433)</f>
        <v>1695</v>
      </c>
      <c r="C11" s="130">
        <v>4802724</v>
      </c>
      <c r="D11" s="129">
        <f>_xlfn.COMPOUNDVALUE(434)</f>
        <v>1510</v>
      </c>
      <c r="E11" s="130">
        <v>611668</v>
      </c>
      <c r="F11" s="129">
        <f>_xlfn.COMPOUNDVALUE(435)</f>
        <v>3205</v>
      </c>
      <c r="G11" s="130">
        <v>5414392</v>
      </c>
      <c r="H11" s="129">
        <f>_xlfn.COMPOUNDVALUE(436)</f>
        <v>84</v>
      </c>
      <c r="I11" s="131">
        <v>166749</v>
      </c>
      <c r="J11" s="129">
        <v>259</v>
      </c>
      <c r="K11" s="131">
        <v>47531</v>
      </c>
      <c r="L11" s="129">
        <v>3364</v>
      </c>
      <c r="M11" s="131">
        <v>5295174</v>
      </c>
      <c r="N11" s="126">
        <v>3447</v>
      </c>
      <c r="O11" s="144">
        <v>70</v>
      </c>
      <c r="P11" s="144">
        <v>3</v>
      </c>
      <c r="Q11" s="145">
        <v>3520</v>
      </c>
      <c r="R11" s="14" t="s">
        <v>100</v>
      </c>
    </row>
    <row r="12" spans="1:18" ht="15.75" customHeight="1">
      <c r="A12" s="13" t="s">
        <v>23</v>
      </c>
      <c r="B12" s="129">
        <f>_xlfn.COMPOUNDVALUE(437)</f>
        <v>2658</v>
      </c>
      <c r="C12" s="130">
        <v>24611857</v>
      </c>
      <c r="D12" s="129">
        <f>_xlfn.COMPOUNDVALUE(438)</f>
        <v>2615</v>
      </c>
      <c r="E12" s="130">
        <v>1279758</v>
      </c>
      <c r="F12" s="129">
        <f>_xlfn.COMPOUNDVALUE(439)</f>
        <v>5273</v>
      </c>
      <c r="G12" s="130">
        <v>25891615</v>
      </c>
      <c r="H12" s="129">
        <f>_xlfn.COMPOUNDVALUE(440)</f>
        <v>175</v>
      </c>
      <c r="I12" s="131">
        <v>587056</v>
      </c>
      <c r="J12" s="129">
        <v>263</v>
      </c>
      <c r="K12" s="131">
        <v>46298</v>
      </c>
      <c r="L12" s="129">
        <v>5511</v>
      </c>
      <c r="M12" s="131">
        <v>25350857</v>
      </c>
      <c r="N12" s="126">
        <v>5644</v>
      </c>
      <c r="O12" s="144">
        <v>118</v>
      </c>
      <c r="P12" s="144">
        <v>7</v>
      </c>
      <c r="Q12" s="145">
        <v>5769</v>
      </c>
      <c r="R12" s="14" t="s">
        <v>101</v>
      </c>
    </row>
    <row r="13" spans="1:18" ht="15.75" customHeight="1">
      <c r="A13" s="13" t="s">
        <v>24</v>
      </c>
      <c r="B13" s="129">
        <f>_xlfn.COMPOUNDVALUE(441)</f>
        <v>879</v>
      </c>
      <c r="C13" s="130">
        <v>3033921</v>
      </c>
      <c r="D13" s="129">
        <f>_xlfn.COMPOUNDVALUE(442)</f>
        <v>831</v>
      </c>
      <c r="E13" s="130">
        <v>335272</v>
      </c>
      <c r="F13" s="129">
        <f>_xlfn.COMPOUNDVALUE(443)</f>
        <v>1710</v>
      </c>
      <c r="G13" s="130">
        <v>3369192</v>
      </c>
      <c r="H13" s="129">
        <f>_xlfn.COMPOUNDVALUE(444)</f>
        <v>38</v>
      </c>
      <c r="I13" s="131">
        <v>268465</v>
      </c>
      <c r="J13" s="129">
        <v>78</v>
      </c>
      <c r="K13" s="131">
        <v>22311</v>
      </c>
      <c r="L13" s="129">
        <v>1780</v>
      </c>
      <c r="M13" s="131">
        <v>3123039</v>
      </c>
      <c r="N13" s="126">
        <v>1693</v>
      </c>
      <c r="O13" s="144">
        <v>31</v>
      </c>
      <c r="P13" s="144">
        <v>0</v>
      </c>
      <c r="Q13" s="145">
        <v>1724</v>
      </c>
      <c r="R13" s="14" t="s">
        <v>24</v>
      </c>
    </row>
    <row r="14" spans="1:18" ht="15.75" customHeight="1">
      <c r="A14" s="92" t="s">
        <v>25</v>
      </c>
      <c r="B14" s="146">
        <v>15508</v>
      </c>
      <c r="C14" s="147">
        <v>221849138</v>
      </c>
      <c r="D14" s="146">
        <v>12610</v>
      </c>
      <c r="E14" s="147">
        <v>5908927</v>
      </c>
      <c r="F14" s="146">
        <v>28118</v>
      </c>
      <c r="G14" s="147">
        <v>227758065</v>
      </c>
      <c r="H14" s="146">
        <v>805</v>
      </c>
      <c r="I14" s="148">
        <v>5748795</v>
      </c>
      <c r="J14" s="146">
        <v>1721</v>
      </c>
      <c r="K14" s="148">
        <v>295386</v>
      </c>
      <c r="L14" s="146">
        <v>29326</v>
      </c>
      <c r="M14" s="148">
        <v>222304657</v>
      </c>
      <c r="N14" s="146">
        <v>29903</v>
      </c>
      <c r="O14" s="149">
        <v>665</v>
      </c>
      <c r="P14" s="149">
        <v>52</v>
      </c>
      <c r="Q14" s="150">
        <v>30620</v>
      </c>
      <c r="R14" s="94" t="s">
        <v>95</v>
      </c>
    </row>
    <row r="15" spans="1:18" ht="15.75" customHeight="1">
      <c r="A15" s="96"/>
      <c r="B15" s="151"/>
      <c r="C15" s="152"/>
      <c r="D15" s="151"/>
      <c r="E15" s="152"/>
      <c r="F15" s="153"/>
      <c r="G15" s="152"/>
      <c r="H15" s="153"/>
      <c r="I15" s="152"/>
      <c r="J15" s="153"/>
      <c r="K15" s="152"/>
      <c r="L15" s="153"/>
      <c r="M15" s="152"/>
      <c r="N15" s="154"/>
      <c r="O15" s="155"/>
      <c r="P15" s="155"/>
      <c r="Q15" s="156"/>
      <c r="R15" s="97"/>
    </row>
    <row r="16" spans="1:18" ht="15.75" customHeight="1">
      <c r="A16" s="98" t="s">
        <v>26</v>
      </c>
      <c r="B16" s="157">
        <f>_xlfn.COMPOUNDVALUE(445)</f>
        <v>5409</v>
      </c>
      <c r="C16" s="158">
        <v>31588184</v>
      </c>
      <c r="D16" s="157">
        <f>_xlfn.COMPOUNDVALUE(446)</f>
        <v>3730</v>
      </c>
      <c r="E16" s="158">
        <v>1886053</v>
      </c>
      <c r="F16" s="157">
        <f>_xlfn.COMPOUNDVALUE(447)</f>
        <v>9139</v>
      </c>
      <c r="G16" s="158">
        <v>33474237</v>
      </c>
      <c r="H16" s="157">
        <f>_xlfn.COMPOUNDVALUE(448)</f>
        <v>316</v>
      </c>
      <c r="I16" s="159">
        <v>2099430</v>
      </c>
      <c r="J16" s="157">
        <v>758</v>
      </c>
      <c r="K16" s="159">
        <v>257703</v>
      </c>
      <c r="L16" s="157">
        <v>9658</v>
      </c>
      <c r="M16" s="159">
        <v>31632510</v>
      </c>
      <c r="N16" s="157">
        <v>9424</v>
      </c>
      <c r="O16" s="160">
        <v>233</v>
      </c>
      <c r="P16" s="160">
        <v>31</v>
      </c>
      <c r="Q16" s="161">
        <v>9688</v>
      </c>
      <c r="R16" s="99" t="s">
        <v>102</v>
      </c>
    </row>
    <row r="17" spans="1:18" ht="15.75" customHeight="1">
      <c r="A17" s="13" t="s">
        <v>27</v>
      </c>
      <c r="B17" s="129">
        <f>_xlfn.COMPOUNDVALUE(449)</f>
        <v>995</v>
      </c>
      <c r="C17" s="130">
        <v>4080609</v>
      </c>
      <c r="D17" s="129">
        <f>_xlfn.COMPOUNDVALUE(450)</f>
        <v>766</v>
      </c>
      <c r="E17" s="130">
        <v>358269</v>
      </c>
      <c r="F17" s="129">
        <f>_xlfn.COMPOUNDVALUE(451)</f>
        <v>1761</v>
      </c>
      <c r="G17" s="130">
        <v>4438878</v>
      </c>
      <c r="H17" s="129">
        <f>_xlfn.COMPOUNDVALUE(452)</f>
        <v>71</v>
      </c>
      <c r="I17" s="131">
        <v>380344</v>
      </c>
      <c r="J17" s="129">
        <v>124</v>
      </c>
      <c r="K17" s="131">
        <v>47863</v>
      </c>
      <c r="L17" s="129">
        <v>1870</v>
      </c>
      <c r="M17" s="131">
        <v>4106398</v>
      </c>
      <c r="N17" s="126">
        <v>1816</v>
      </c>
      <c r="O17" s="144">
        <v>35</v>
      </c>
      <c r="P17" s="144">
        <v>2</v>
      </c>
      <c r="Q17" s="145">
        <v>1853</v>
      </c>
      <c r="R17" s="14" t="s">
        <v>103</v>
      </c>
    </row>
    <row r="18" spans="1:18" ht="15.75" customHeight="1">
      <c r="A18" s="13" t="s">
        <v>28</v>
      </c>
      <c r="B18" s="129">
        <f>_xlfn.COMPOUNDVALUE(453)</f>
        <v>922</v>
      </c>
      <c r="C18" s="130">
        <v>4496338</v>
      </c>
      <c r="D18" s="129">
        <f>_xlfn.COMPOUNDVALUE(454)</f>
        <v>598</v>
      </c>
      <c r="E18" s="130">
        <v>254584</v>
      </c>
      <c r="F18" s="129">
        <f>_xlfn.COMPOUNDVALUE(455)</f>
        <v>1520</v>
      </c>
      <c r="G18" s="130">
        <v>4750922</v>
      </c>
      <c r="H18" s="129">
        <f>_xlfn.COMPOUNDVALUE(456)</f>
        <v>60</v>
      </c>
      <c r="I18" s="131">
        <v>343039</v>
      </c>
      <c r="J18" s="129">
        <v>169</v>
      </c>
      <c r="K18" s="131">
        <v>53317</v>
      </c>
      <c r="L18" s="129">
        <v>1611</v>
      </c>
      <c r="M18" s="131">
        <v>4461200</v>
      </c>
      <c r="N18" s="126">
        <v>1536</v>
      </c>
      <c r="O18" s="144">
        <v>76</v>
      </c>
      <c r="P18" s="144">
        <v>2</v>
      </c>
      <c r="Q18" s="145">
        <v>1614</v>
      </c>
      <c r="R18" s="14" t="s">
        <v>104</v>
      </c>
    </row>
    <row r="19" spans="1:18" ht="15.75" customHeight="1">
      <c r="A19" s="13" t="s">
        <v>29</v>
      </c>
      <c r="B19" s="129">
        <f>_xlfn.COMPOUNDVALUE(457)</f>
        <v>1520</v>
      </c>
      <c r="C19" s="130">
        <v>7971023</v>
      </c>
      <c r="D19" s="129">
        <f>_xlfn.COMPOUNDVALUE(458)</f>
        <v>1036</v>
      </c>
      <c r="E19" s="130">
        <v>491575</v>
      </c>
      <c r="F19" s="129">
        <f>_xlfn.COMPOUNDVALUE(459)</f>
        <v>2556</v>
      </c>
      <c r="G19" s="130">
        <v>8462598</v>
      </c>
      <c r="H19" s="129">
        <f>_xlfn.COMPOUNDVALUE(460)</f>
        <v>112</v>
      </c>
      <c r="I19" s="131">
        <v>226659</v>
      </c>
      <c r="J19" s="129">
        <v>206</v>
      </c>
      <c r="K19" s="131">
        <v>18346</v>
      </c>
      <c r="L19" s="129">
        <v>2699</v>
      </c>
      <c r="M19" s="131">
        <v>8254285</v>
      </c>
      <c r="N19" s="126">
        <v>2682</v>
      </c>
      <c r="O19" s="144">
        <v>53</v>
      </c>
      <c r="P19" s="144">
        <v>6</v>
      </c>
      <c r="Q19" s="145">
        <v>2741</v>
      </c>
      <c r="R19" s="14" t="s">
        <v>105</v>
      </c>
    </row>
    <row r="20" spans="1:18" ht="15.75" customHeight="1">
      <c r="A20" s="13" t="s">
        <v>30</v>
      </c>
      <c r="B20" s="129">
        <f>_xlfn.COMPOUNDVALUE(461)</f>
        <v>2089</v>
      </c>
      <c r="C20" s="130">
        <v>13065681</v>
      </c>
      <c r="D20" s="129">
        <f>_xlfn.COMPOUNDVALUE(462)</f>
        <v>1316</v>
      </c>
      <c r="E20" s="130">
        <v>622941</v>
      </c>
      <c r="F20" s="129">
        <f>_xlfn.COMPOUNDVALUE(463)</f>
        <v>3405</v>
      </c>
      <c r="G20" s="130">
        <v>13688621</v>
      </c>
      <c r="H20" s="129">
        <f>_xlfn.COMPOUNDVALUE(464)</f>
        <v>150</v>
      </c>
      <c r="I20" s="131">
        <v>977044</v>
      </c>
      <c r="J20" s="129">
        <v>226</v>
      </c>
      <c r="K20" s="131">
        <v>8101</v>
      </c>
      <c r="L20" s="129">
        <v>3599</v>
      </c>
      <c r="M20" s="131">
        <v>12719678</v>
      </c>
      <c r="N20" s="126">
        <v>3511</v>
      </c>
      <c r="O20" s="144">
        <v>110</v>
      </c>
      <c r="P20" s="144">
        <v>9</v>
      </c>
      <c r="Q20" s="145">
        <v>3630</v>
      </c>
      <c r="R20" s="14" t="s">
        <v>106</v>
      </c>
    </row>
    <row r="21" spans="1:18" ht="15.75" customHeight="1">
      <c r="A21" s="13" t="s">
        <v>31</v>
      </c>
      <c r="B21" s="129">
        <f>_xlfn.COMPOUNDVALUE(465)</f>
        <v>851</v>
      </c>
      <c r="C21" s="130">
        <v>2850508</v>
      </c>
      <c r="D21" s="129">
        <f>_xlfn.COMPOUNDVALUE(466)</f>
        <v>483</v>
      </c>
      <c r="E21" s="130">
        <v>234815</v>
      </c>
      <c r="F21" s="129">
        <f>_xlfn.COMPOUNDVALUE(467)</f>
        <v>1334</v>
      </c>
      <c r="G21" s="130">
        <v>3085323</v>
      </c>
      <c r="H21" s="129">
        <f>_xlfn.COMPOUNDVALUE(468)</f>
        <v>66</v>
      </c>
      <c r="I21" s="131">
        <v>626535</v>
      </c>
      <c r="J21" s="129">
        <v>73</v>
      </c>
      <c r="K21" s="131">
        <v>12589</v>
      </c>
      <c r="L21" s="129">
        <v>1416</v>
      </c>
      <c r="M21" s="131">
        <v>2471377</v>
      </c>
      <c r="N21" s="126">
        <v>1340</v>
      </c>
      <c r="O21" s="144">
        <v>36</v>
      </c>
      <c r="P21" s="144">
        <v>1</v>
      </c>
      <c r="Q21" s="145">
        <v>1377</v>
      </c>
      <c r="R21" s="14" t="s">
        <v>107</v>
      </c>
    </row>
    <row r="22" spans="1:18" ht="15.75" customHeight="1">
      <c r="A22" s="13" t="s">
        <v>32</v>
      </c>
      <c r="B22" s="129">
        <f>_xlfn.COMPOUNDVALUE(469)</f>
        <v>1363</v>
      </c>
      <c r="C22" s="130">
        <v>6631456</v>
      </c>
      <c r="D22" s="129">
        <f>_xlfn.COMPOUNDVALUE(470)</f>
        <v>1013</v>
      </c>
      <c r="E22" s="130">
        <v>461199</v>
      </c>
      <c r="F22" s="129">
        <f>_xlfn.COMPOUNDVALUE(471)</f>
        <v>2376</v>
      </c>
      <c r="G22" s="130">
        <v>7092656</v>
      </c>
      <c r="H22" s="129">
        <f>_xlfn.COMPOUNDVALUE(472)</f>
        <v>93</v>
      </c>
      <c r="I22" s="131">
        <v>157966</v>
      </c>
      <c r="J22" s="129">
        <v>198</v>
      </c>
      <c r="K22" s="131">
        <v>38327</v>
      </c>
      <c r="L22" s="129">
        <v>2512</v>
      </c>
      <c r="M22" s="131">
        <v>6973017</v>
      </c>
      <c r="N22" s="126">
        <v>2412</v>
      </c>
      <c r="O22" s="144">
        <v>45</v>
      </c>
      <c r="P22" s="144">
        <v>4</v>
      </c>
      <c r="Q22" s="145">
        <v>2461</v>
      </c>
      <c r="R22" s="14" t="s">
        <v>108</v>
      </c>
    </row>
    <row r="23" spans="1:18" ht="15.75" customHeight="1">
      <c r="A23" s="13" t="s">
        <v>33</v>
      </c>
      <c r="B23" s="129">
        <f>_xlfn.COMPOUNDVALUE(473)</f>
        <v>901</v>
      </c>
      <c r="C23" s="130">
        <v>3798947</v>
      </c>
      <c r="D23" s="129">
        <f>_xlfn.COMPOUNDVALUE(474)</f>
        <v>629</v>
      </c>
      <c r="E23" s="130">
        <v>288441</v>
      </c>
      <c r="F23" s="129">
        <f>_xlfn.COMPOUNDVALUE(475)</f>
        <v>1530</v>
      </c>
      <c r="G23" s="130">
        <v>4087387</v>
      </c>
      <c r="H23" s="129">
        <f>_xlfn.COMPOUNDVALUE(476)</f>
        <v>72</v>
      </c>
      <c r="I23" s="131">
        <v>318647</v>
      </c>
      <c r="J23" s="129">
        <v>138</v>
      </c>
      <c r="K23" s="131">
        <v>61768</v>
      </c>
      <c r="L23" s="129">
        <v>1657</v>
      </c>
      <c r="M23" s="131">
        <v>3830508</v>
      </c>
      <c r="N23" s="126">
        <v>1577</v>
      </c>
      <c r="O23" s="144">
        <v>61</v>
      </c>
      <c r="P23" s="144">
        <v>3</v>
      </c>
      <c r="Q23" s="145">
        <v>1641</v>
      </c>
      <c r="R23" s="14" t="s">
        <v>109</v>
      </c>
    </row>
    <row r="24" spans="1:18" ht="15.75" customHeight="1">
      <c r="A24" s="13" t="s">
        <v>34</v>
      </c>
      <c r="B24" s="129">
        <f>_xlfn.COMPOUNDVALUE(477)</f>
        <v>787</v>
      </c>
      <c r="C24" s="130">
        <v>3160678</v>
      </c>
      <c r="D24" s="129">
        <f>_xlfn.COMPOUNDVALUE(478)</f>
        <v>543</v>
      </c>
      <c r="E24" s="130">
        <v>235450</v>
      </c>
      <c r="F24" s="129">
        <f>_xlfn.COMPOUNDVALUE(479)</f>
        <v>1330</v>
      </c>
      <c r="G24" s="130">
        <v>3396128</v>
      </c>
      <c r="H24" s="129">
        <f>_xlfn.COMPOUNDVALUE(480)</f>
        <v>68</v>
      </c>
      <c r="I24" s="131">
        <v>428216</v>
      </c>
      <c r="J24" s="129">
        <v>53</v>
      </c>
      <c r="K24" s="131">
        <v>8083</v>
      </c>
      <c r="L24" s="129">
        <v>1412</v>
      </c>
      <c r="M24" s="131">
        <v>2975994</v>
      </c>
      <c r="N24" s="126">
        <v>1460</v>
      </c>
      <c r="O24" s="144">
        <v>54</v>
      </c>
      <c r="P24" s="144">
        <v>1</v>
      </c>
      <c r="Q24" s="145">
        <v>1515</v>
      </c>
      <c r="R24" s="14" t="s">
        <v>110</v>
      </c>
    </row>
    <row r="25" spans="1:18" ht="15.75" customHeight="1">
      <c r="A25" s="95" t="s">
        <v>90</v>
      </c>
      <c r="B25" s="146">
        <v>14837</v>
      </c>
      <c r="C25" s="147">
        <v>77643424</v>
      </c>
      <c r="D25" s="146">
        <v>10114</v>
      </c>
      <c r="E25" s="147">
        <v>4833325</v>
      </c>
      <c r="F25" s="146">
        <v>24951</v>
      </c>
      <c r="G25" s="147">
        <v>82476749</v>
      </c>
      <c r="H25" s="146">
        <v>1008</v>
      </c>
      <c r="I25" s="148">
        <v>5557879</v>
      </c>
      <c r="J25" s="146">
        <v>1945</v>
      </c>
      <c r="K25" s="148">
        <v>506097</v>
      </c>
      <c r="L25" s="146">
        <v>26434</v>
      </c>
      <c r="M25" s="148">
        <v>77424967</v>
      </c>
      <c r="N25" s="146">
        <v>25758</v>
      </c>
      <c r="O25" s="149">
        <v>703</v>
      </c>
      <c r="P25" s="149">
        <v>59</v>
      </c>
      <c r="Q25" s="150">
        <v>26520</v>
      </c>
      <c r="R25" s="94" t="s">
        <v>111</v>
      </c>
    </row>
    <row r="26" spans="1:18" ht="15.75" customHeight="1">
      <c r="A26" s="96"/>
      <c r="B26" s="151"/>
      <c r="C26" s="152"/>
      <c r="D26" s="151"/>
      <c r="E26" s="152"/>
      <c r="F26" s="153"/>
      <c r="G26" s="152"/>
      <c r="H26" s="153"/>
      <c r="I26" s="152"/>
      <c r="J26" s="153"/>
      <c r="K26" s="152"/>
      <c r="L26" s="153"/>
      <c r="M26" s="152"/>
      <c r="N26" s="154"/>
      <c r="O26" s="155"/>
      <c r="P26" s="155"/>
      <c r="Q26" s="156"/>
      <c r="R26" s="97"/>
    </row>
    <row r="27" spans="1:18" ht="15.75" customHeight="1">
      <c r="A27" s="98" t="s">
        <v>36</v>
      </c>
      <c r="B27" s="157">
        <f>_xlfn.COMPOUNDVALUE(481)</f>
        <v>6937</v>
      </c>
      <c r="C27" s="158">
        <v>64297941</v>
      </c>
      <c r="D27" s="157">
        <f>_xlfn.COMPOUNDVALUE(482)</f>
        <v>4387</v>
      </c>
      <c r="E27" s="158">
        <v>2479365</v>
      </c>
      <c r="F27" s="157">
        <f>_xlfn.COMPOUNDVALUE(483)</f>
        <v>11324</v>
      </c>
      <c r="G27" s="158">
        <v>66777306</v>
      </c>
      <c r="H27" s="157">
        <f>_xlfn.COMPOUNDVALUE(484)</f>
        <v>474</v>
      </c>
      <c r="I27" s="159">
        <v>1934983</v>
      </c>
      <c r="J27" s="157">
        <v>852</v>
      </c>
      <c r="K27" s="159">
        <v>168249</v>
      </c>
      <c r="L27" s="157">
        <v>12047</v>
      </c>
      <c r="M27" s="159">
        <v>65010571</v>
      </c>
      <c r="N27" s="157">
        <v>12365</v>
      </c>
      <c r="O27" s="160">
        <v>402</v>
      </c>
      <c r="P27" s="160">
        <v>44</v>
      </c>
      <c r="Q27" s="161">
        <v>12811</v>
      </c>
      <c r="R27" s="99" t="s">
        <v>112</v>
      </c>
    </row>
    <row r="28" spans="1:18" ht="15.75" customHeight="1">
      <c r="A28" s="13" t="s">
        <v>37</v>
      </c>
      <c r="B28" s="129">
        <f>_xlfn.COMPOUNDVALUE(485)</f>
        <v>5752</v>
      </c>
      <c r="C28" s="130">
        <v>59426004</v>
      </c>
      <c r="D28" s="129">
        <f>_xlfn.COMPOUNDVALUE(486)</f>
        <v>2879</v>
      </c>
      <c r="E28" s="130">
        <v>1770702</v>
      </c>
      <c r="F28" s="129">
        <f>_xlfn.COMPOUNDVALUE(487)</f>
        <v>8631</v>
      </c>
      <c r="G28" s="130">
        <v>61196706</v>
      </c>
      <c r="H28" s="129">
        <f>_xlfn.COMPOUNDVALUE(488)</f>
        <v>349</v>
      </c>
      <c r="I28" s="131">
        <v>1520374</v>
      </c>
      <c r="J28" s="129">
        <v>562</v>
      </c>
      <c r="K28" s="131">
        <v>396136</v>
      </c>
      <c r="L28" s="129">
        <v>9119</v>
      </c>
      <c r="M28" s="131">
        <v>60072467</v>
      </c>
      <c r="N28" s="126">
        <v>9248</v>
      </c>
      <c r="O28" s="144">
        <v>295</v>
      </c>
      <c r="P28" s="144">
        <v>62</v>
      </c>
      <c r="Q28" s="145">
        <v>9605</v>
      </c>
      <c r="R28" s="14" t="s">
        <v>113</v>
      </c>
    </row>
    <row r="29" spans="1:18" ht="15.75" customHeight="1">
      <c r="A29" s="13" t="s">
        <v>38</v>
      </c>
      <c r="B29" s="129">
        <f>_xlfn.COMPOUNDVALUE(489)</f>
        <v>3449</v>
      </c>
      <c r="C29" s="130">
        <v>18127796</v>
      </c>
      <c r="D29" s="129">
        <f>_xlfn.COMPOUNDVALUE(490)</f>
        <v>2576</v>
      </c>
      <c r="E29" s="130">
        <v>1238178</v>
      </c>
      <c r="F29" s="129">
        <f>_xlfn.COMPOUNDVALUE(491)</f>
        <v>6025</v>
      </c>
      <c r="G29" s="130">
        <v>19365974</v>
      </c>
      <c r="H29" s="129">
        <f>_xlfn.COMPOUNDVALUE(492)</f>
        <v>221</v>
      </c>
      <c r="I29" s="131">
        <v>1002196</v>
      </c>
      <c r="J29" s="129">
        <v>364</v>
      </c>
      <c r="K29" s="131">
        <v>80875</v>
      </c>
      <c r="L29" s="129">
        <v>6402</v>
      </c>
      <c r="M29" s="131">
        <v>18444653</v>
      </c>
      <c r="N29" s="126">
        <v>6448</v>
      </c>
      <c r="O29" s="144">
        <v>178</v>
      </c>
      <c r="P29" s="144">
        <v>20</v>
      </c>
      <c r="Q29" s="145">
        <v>6646</v>
      </c>
      <c r="R29" s="14" t="s">
        <v>114</v>
      </c>
    </row>
    <row r="30" spans="1:18" ht="15.75" customHeight="1">
      <c r="A30" s="13" t="s">
        <v>39</v>
      </c>
      <c r="B30" s="129">
        <f>_xlfn.COMPOUNDVALUE(493)</f>
        <v>3061</v>
      </c>
      <c r="C30" s="130">
        <v>12242261</v>
      </c>
      <c r="D30" s="129">
        <f>_xlfn.COMPOUNDVALUE(494)</f>
        <v>2220</v>
      </c>
      <c r="E30" s="130">
        <v>1067786</v>
      </c>
      <c r="F30" s="129">
        <f>_xlfn.COMPOUNDVALUE(495)</f>
        <v>5281</v>
      </c>
      <c r="G30" s="130">
        <v>13310047</v>
      </c>
      <c r="H30" s="129">
        <f>_xlfn.COMPOUNDVALUE(496)</f>
        <v>234</v>
      </c>
      <c r="I30" s="131">
        <v>1880403</v>
      </c>
      <c r="J30" s="129">
        <v>450</v>
      </c>
      <c r="K30" s="131">
        <v>46524</v>
      </c>
      <c r="L30" s="129">
        <v>5661</v>
      </c>
      <c r="M30" s="131">
        <v>11476169</v>
      </c>
      <c r="N30" s="126">
        <v>5412</v>
      </c>
      <c r="O30" s="144">
        <v>149</v>
      </c>
      <c r="P30" s="144">
        <v>15</v>
      </c>
      <c r="Q30" s="145">
        <v>5576</v>
      </c>
      <c r="R30" s="14" t="s">
        <v>115</v>
      </c>
    </row>
    <row r="31" spans="1:18" ht="15.75" customHeight="1">
      <c r="A31" s="13" t="s">
        <v>40</v>
      </c>
      <c r="B31" s="129">
        <f>_xlfn.COMPOUNDVALUE(497)</f>
        <v>2036</v>
      </c>
      <c r="C31" s="130">
        <v>7442178</v>
      </c>
      <c r="D31" s="129">
        <f>_xlfn.COMPOUNDVALUE(498)</f>
        <v>1408</v>
      </c>
      <c r="E31" s="130">
        <v>661157</v>
      </c>
      <c r="F31" s="129">
        <f>_xlfn.COMPOUNDVALUE(499)</f>
        <v>3444</v>
      </c>
      <c r="G31" s="130">
        <v>8103335</v>
      </c>
      <c r="H31" s="129">
        <f>_xlfn.COMPOUNDVALUE(500)</f>
        <v>143</v>
      </c>
      <c r="I31" s="131">
        <v>682090</v>
      </c>
      <c r="J31" s="129">
        <v>305</v>
      </c>
      <c r="K31" s="131">
        <v>26869</v>
      </c>
      <c r="L31" s="129">
        <v>3674</v>
      </c>
      <c r="M31" s="131">
        <v>7448115</v>
      </c>
      <c r="N31" s="126">
        <v>3596</v>
      </c>
      <c r="O31" s="144">
        <v>89</v>
      </c>
      <c r="P31" s="144">
        <v>10</v>
      </c>
      <c r="Q31" s="145">
        <v>3695</v>
      </c>
      <c r="R31" s="14" t="s">
        <v>116</v>
      </c>
    </row>
    <row r="32" spans="1:18" ht="15.75" customHeight="1">
      <c r="A32" s="13" t="s">
        <v>41</v>
      </c>
      <c r="B32" s="129">
        <f>_xlfn.COMPOUNDVALUE(501)</f>
        <v>2457</v>
      </c>
      <c r="C32" s="130">
        <v>8767235</v>
      </c>
      <c r="D32" s="129">
        <f>_xlfn.COMPOUNDVALUE(502)</f>
        <v>1929</v>
      </c>
      <c r="E32" s="130">
        <v>863171</v>
      </c>
      <c r="F32" s="129">
        <f>_xlfn.COMPOUNDVALUE(503)</f>
        <v>4386</v>
      </c>
      <c r="G32" s="130">
        <v>9630406</v>
      </c>
      <c r="H32" s="129">
        <f>_xlfn.COMPOUNDVALUE(504)</f>
        <v>177</v>
      </c>
      <c r="I32" s="131">
        <v>496466</v>
      </c>
      <c r="J32" s="129">
        <v>289</v>
      </c>
      <c r="K32" s="131">
        <v>56190</v>
      </c>
      <c r="L32" s="129">
        <v>4647</v>
      </c>
      <c r="M32" s="131">
        <v>9190129</v>
      </c>
      <c r="N32" s="126">
        <v>4584</v>
      </c>
      <c r="O32" s="144">
        <v>118</v>
      </c>
      <c r="P32" s="144">
        <v>10</v>
      </c>
      <c r="Q32" s="145">
        <v>4712</v>
      </c>
      <c r="R32" s="14" t="s">
        <v>117</v>
      </c>
    </row>
    <row r="33" spans="1:18" ht="15.75" customHeight="1">
      <c r="A33" s="13" t="s">
        <v>42</v>
      </c>
      <c r="B33" s="129">
        <f>_xlfn.COMPOUNDVALUE(505)</f>
        <v>1204</v>
      </c>
      <c r="C33" s="130">
        <v>4878772</v>
      </c>
      <c r="D33" s="129">
        <f>_xlfn.COMPOUNDVALUE(506)</f>
        <v>764</v>
      </c>
      <c r="E33" s="130">
        <v>358316</v>
      </c>
      <c r="F33" s="129">
        <f>_xlfn.COMPOUNDVALUE(507)</f>
        <v>1968</v>
      </c>
      <c r="G33" s="130">
        <v>5237088</v>
      </c>
      <c r="H33" s="129">
        <f>_xlfn.COMPOUNDVALUE(508)</f>
        <v>109</v>
      </c>
      <c r="I33" s="131">
        <v>1811598</v>
      </c>
      <c r="J33" s="129">
        <v>132</v>
      </c>
      <c r="K33" s="131">
        <v>50882</v>
      </c>
      <c r="L33" s="129">
        <v>2121</v>
      </c>
      <c r="M33" s="131">
        <v>3476372</v>
      </c>
      <c r="N33" s="126">
        <v>2180</v>
      </c>
      <c r="O33" s="144">
        <v>58</v>
      </c>
      <c r="P33" s="144">
        <v>2</v>
      </c>
      <c r="Q33" s="145">
        <v>2240</v>
      </c>
      <c r="R33" s="14" t="s">
        <v>118</v>
      </c>
    </row>
    <row r="34" spans="1:18" ht="15.75" customHeight="1">
      <c r="A34" s="13" t="s">
        <v>43</v>
      </c>
      <c r="B34" s="129">
        <f>_xlfn.COMPOUNDVALUE(509)</f>
        <v>1839</v>
      </c>
      <c r="C34" s="130">
        <v>6093319</v>
      </c>
      <c r="D34" s="129">
        <f>_xlfn.COMPOUNDVALUE(510)</f>
        <v>1388</v>
      </c>
      <c r="E34" s="130">
        <v>612289</v>
      </c>
      <c r="F34" s="129">
        <f>_xlfn.COMPOUNDVALUE(511)</f>
        <v>3227</v>
      </c>
      <c r="G34" s="130">
        <v>6705607</v>
      </c>
      <c r="H34" s="129">
        <f>_xlfn.COMPOUNDVALUE(512)</f>
        <v>160</v>
      </c>
      <c r="I34" s="131">
        <v>423837</v>
      </c>
      <c r="J34" s="129">
        <v>159</v>
      </c>
      <c r="K34" s="131">
        <v>33179</v>
      </c>
      <c r="L34" s="129">
        <v>3423</v>
      </c>
      <c r="M34" s="131">
        <v>6314950</v>
      </c>
      <c r="N34" s="126">
        <v>3267</v>
      </c>
      <c r="O34" s="144">
        <v>76</v>
      </c>
      <c r="P34" s="144">
        <v>3</v>
      </c>
      <c r="Q34" s="145">
        <v>3346</v>
      </c>
      <c r="R34" s="14" t="s">
        <v>119</v>
      </c>
    </row>
    <row r="35" spans="1:18" ht="15.75" customHeight="1">
      <c r="A35" s="13" t="s">
        <v>44</v>
      </c>
      <c r="B35" s="129">
        <f>_xlfn.COMPOUNDVALUE(513)</f>
        <v>902</v>
      </c>
      <c r="C35" s="130">
        <v>3526840</v>
      </c>
      <c r="D35" s="129">
        <f>_xlfn.COMPOUNDVALUE(514)</f>
        <v>637</v>
      </c>
      <c r="E35" s="130">
        <v>286207</v>
      </c>
      <c r="F35" s="129">
        <f>_xlfn.COMPOUNDVALUE(515)</f>
        <v>1539</v>
      </c>
      <c r="G35" s="130">
        <v>3813046</v>
      </c>
      <c r="H35" s="129">
        <f>_xlfn.COMPOUNDVALUE(516)</f>
        <v>69</v>
      </c>
      <c r="I35" s="131">
        <v>609046</v>
      </c>
      <c r="J35" s="129">
        <v>127</v>
      </c>
      <c r="K35" s="131">
        <v>21849</v>
      </c>
      <c r="L35" s="129">
        <v>1632</v>
      </c>
      <c r="M35" s="131">
        <v>3225849</v>
      </c>
      <c r="N35" s="126">
        <v>1603</v>
      </c>
      <c r="O35" s="144">
        <v>50</v>
      </c>
      <c r="P35" s="144">
        <v>2</v>
      </c>
      <c r="Q35" s="145">
        <v>1655</v>
      </c>
      <c r="R35" s="14" t="s">
        <v>120</v>
      </c>
    </row>
    <row r="36" spans="1:18" ht="15.75" customHeight="1">
      <c r="A36" s="13" t="s">
        <v>45</v>
      </c>
      <c r="B36" s="129">
        <f>_xlfn.COMPOUNDVALUE(517)</f>
        <v>1193</v>
      </c>
      <c r="C36" s="130">
        <v>4367914</v>
      </c>
      <c r="D36" s="129">
        <f>_xlfn.COMPOUNDVALUE(518)</f>
        <v>934</v>
      </c>
      <c r="E36" s="130">
        <v>413832</v>
      </c>
      <c r="F36" s="129">
        <f>_xlfn.COMPOUNDVALUE(519)</f>
        <v>2127</v>
      </c>
      <c r="G36" s="130">
        <v>4781747</v>
      </c>
      <c r="H36" s="129">
        <f>_xlfn.COMPOUNDVALUE(520)</f>
        <v>92</v>
      </c>
      <c r="I36" s="131">
        <v>351407</v>
      </c>
      <c r="J36" s="129">
        <v>129</v>
      </c>
      <c r="K36" s="131">
        <v>12458</v>
      </c>
      <c r="L36" s="129">
        <v>2245</v>
      </c>
      <c r="M36" s="131">
        <v>4442797</v>
      </c>
      <c r="N36" s="126">
        <v>2162</v>
      </c>
      <c r="O36" s="144">
        <v>52</v>
      </c>
      <c r="P36" s="144">
        <v>5</v>
      </c>
      <c r="Q36" s="145">
        <v>2219</v>
      </c>
      <c r="R36" s="14" t="s">
        <v>121</v>
      </c>
    </row>
    <row r="37" spans="1:18" ht="15.75" customHeight="1">
      <c r="A37" s="95" t="s">
        <v>46</v>
      </c>
      <c r="B37" s="146">
        <v>28830</v>
      </c>
      <c r="C37" s="147">
        <v>189170258</v>
      </c>
      <c r="D37" s="146">
        <v>19122</v>
      </c>
      <c r="E37" s="147">
        <v>9751003</v>
      </c>
      <c r="F37" s="146">
        <v>47952</v>
      </c>
      <c r="G37" s="147">
        <v>198921261</v>
      </c>
      <c r="H37" s="146">
        <v>2028</v>
      </c>
      <c r="I37" s="148">
        <v>10712398</v>
      </c>
      <c r="J37" s="146">
        <v>3369</v>
      </c>
      <c r="K37" s="148">
        <v>893210</v>
      </c>
      <c r="L37" s="146">
        <v>50971</v>
      </c>
      <c r="M37" s="148">
        <v>189102073</v>
      </c>
      <c r="N37" s="146">
        <v>50865</v>
      </c>
      <c r="O37" s="149">
        <v>1467</v>
      </c>
      <c r="P37" s="149">
        <v>173</v>
      </c>
      <c r="Q37" s="150">
        <v>52505</v>
      </c>
      <c r="R37" s="94" t="s">
        <v>122</v>
      </c>
    </row>
    <row r="38" spans="1:18" ht="15.75" customHeight="1">
      <c r="A38" s="100"/>
      <c r="B38" s="162"/>
      <c r="C38" s="163"/>
      <c r="D38" s="162"/>
      <c r="E38" s="163"/>
      <c r="F38" s="164"/>
      <c r="G38" s="163"/>
      <c r="H38" s="164"/>
      <c r="I38" s="163"/>
      <c r="J38" s="164"/>
      <c r="K38" s="163"/>
      <c r="L38" s="164"/>
      <c r="M38" s="163"/>
      <c r="N38" s="165"/>
      <c r="O38" s="166"/>
      <c r="P38" s="166"/>
      <c r="Q38" s="167"/>
      <c r="R38" s="101"/>
    </row>
    <row r="39" spans="1:18" ht="15.75" customHeight="1">
      <c r="A39" s="11" t="s">
        <v>47</v>
      </c>
      <c r="B39" s="126">
        <f>_xlfn.COMPOUNDVALUE(521)</f>
        <v>2960</v>
      </c>
      <c r="C39" s="127">
        <v>17413009</v>
      </c>
      <c r="D39" s="126">
        <f>_xlfn.COMPOUNDVALUE(522)</f>
        <v>1896</v>
      </c>
      <c r="E39" s="127">
        <v>977312</v>
      </c>
      <c r="F39" s="126">
        <f>_xlfn.COMPOUNDVALUE(523)</f>
        <v>4856</v>
      </c>
      <c r="G39" s="127">
        <v>18390321</v>
      </c>
      <c r="H39" s="126">
        <f>_xlfn.COMPOUNDVALUE(524)</f>
        <v>122</v>
      </c>
      <c r="I39" s="128">
        <v>741746</v>
      </c>
      <c r="J39" s="126">
        <v>358</v>
      </c>
      <c r="K39" s="128">
        <v>45181</v>
      </c>
      <c r="L39" s="126">
        <v>5045</v>
      </c>
      <c r="M39" s="128">
        <v>17693756</v>
      </c>
      <c r="N39" s="126">
        <v>4934</v>
      </c>
      <c r="O39" s="144">
        <v>125</v>
      </c>
      <c r="P39" s="144">
        <v>17</v>
      </c>
      <c r="Q39" s="145">
        <v>5076</v>
      </c>
      <c r="R39" s="12" t="s">
        <v>123</v>
      </c>
    </row>
    <row r="40" spans="1:18" ht="15.75" customHeight="1">
      <c r="A40" s="13" t="s">
        <v>48</v>
      </c>
      <c r="B40" s="129">
        <f>_xlfn.COMPOUNDVALUE(525)</f>
        <v>1491</v>
      </c>
      <c r="C40" s="130">
        <v>6607614</v>
      </c>
      <c r="D40" s="129">
        <f>_xlfn.COMPOUNDVALUE(526)</f>
        <v>1595</v>
      </c>
      <c r="E40" s="130">
        <v>679128</v>
      </c>
      <c r="F40" s="129">
        <f>_xlfn.COMPOUNDVALUE(527)</f>
        <v>3086</v>
      </c>
      <c r="G40" s="130">
        <v>7286741</v>
      </c>
      <c r="H40" s="129">
        <f>_xlfn.COMPOUNDVALUE(528)</f>
        <v>93</v>
      </c>
      <c r="I40" s="131">
        <v>454670</v>
      </c>
      <c r="J40" s="129">
        <v>157</v>
      </c>
      <c r="K40" s="131">
        <v>6654</v>
      </c>
      <c r="L40" s="129">
        <v>3223</v>
      </c>
      <c r="M40" s="131">
        <v>6838725</v>
      </c>
      <c r="N40" s="126">
        <v>3234</v>
      </c>
      <c r="O40" s="144">
        <v>57</v>
      </c>
      <c r="P40" s="144">
        <v>3</v>
      </c>
      <c r="Q40" s="145">
        <v>3294</v>
      </c>
      <c r="R40" s="14" t="s">
        <v>124</v>
      </c>
    </row>
    <row r="41" spans="1:18" ht="15.75" customHeight="1">
      <c r="A41" s="13" t="s">
        <v>49</v>
      </c>
      <c r="B41" s="129">
        <f>_xlfn.COMPOUNDVALUE(529)</f>
        <v>991</v>
      </c>
      <c r="C41" s="130">
        <v>3170165</v>
      </c>
      <c r="D41" s="129">
        <f>_xlfn.COMPOUNDVALUE(530)</f>
        <v>889</v>
      </c>
      <c r="E41" s="130">
        <v>368187</v>
      </c>
      <c r="F41" s="129">
        <f>_xlfn.COMPOUNDVALUE(531)</f>
        <v>1880</v>
      </c>
      <c r="G41" s="130">
        <v>3538353</v>
      </c>
      <c r="H41" s="129">
        <f>_xlfn.COMPOUNDVALUE(532)</f>
        <v>53</v>
      </c>
      <c r="I41" s="131">
        <v>1097751</v>
      </c>
      <c r="J41" s="129">
        <v>120</v>
      </c>
      <c r="K41" s="131">
        <v>11371</v>
      </c>
      <c r="L41" s="129">
        <v>1955</v>
      </c>
      <c r="M41" s="131">
        <v>2451973</v>
      </c>
      <c r="N41" s="126">
        <v>1905</v>
      </c>
      <c r="O41" s="144">
        <v>60</v>
      </c>
      <c r="P41" s="144">
        <v>1</v>
      </c>
      <c r="Q41" s="145">
        <v>1966</v>
      </c>
      <c r="R41" s="14" t="s">
        <v>125</v>
      </c>
    </row>
    <row r="42" spans="1:18" ht="15.75" customHeight="1">
      <c r="A42" s="13" t="s">
        <v>50</v>
      </c>
      <c r="B42" s="129">
        <f>_xlfn.COMPOUNDVALUE(533)</f>
        <v>1037</v>
      </c>
      <c r="C42" s="130">
        <v>3733654</v>
      </c>
      <c r="D42" s="129">
        <f>_xlfn.COMPOUNDVALUE(534)</f>
        <v>854</v>
      </c>
      <c r="E42" s="130">
        <v>361353</v>
      </c>
      <c r="F42" s="129">
        <f>_xlfn.COMPOUNDVALUE(535)</f>
        <v>1891</v>
      </c>
      <c r="G42" s="130">
        <v>4095007</v>
      </c>
      <c r="H42" s="129">
        <f>_xlfn.COMPOUNDVALUE(536)</f>
        <v>67</v>
      </c>
      <c r="I42" s="131">
        <v>82276</v>
      </c>
      <c r="J42" s="129">
        <v>89</v>
      </c>
      <c r="K42" s="131">
        <v>4834</v>
      </c>
      <c r="L42" s="129">
        <v>1982</v>
      </c>
      <c r="M42" s="131">
        <v>4017565</v>
      </c>
      <c r="N42" s="126">
        <v>1980</v>
      </c>
      <c r="O42" s="144">
        <v>44</v>
      </c>
      <c r="P42" s="144">
        <v>1</v>
      </c>
      <c r="Q42" s="145">
        <v>2025</v>
      </c>
      <c r="R42" s="14" t="s">
        <v>126</v>
      </c>
    </row>
    <row r="43" spans="1:18" ht="15.75" customHeight="1">
      <c r="A43" s="13" t="s">
        <v>51</v>
      </c>
      <c r="B43" s="129">
        <f>_xlfn.COMPOUNDVALUE(537)</f>
        <v>1622</v>
      </c>
      <c r="C43" s="130">
        <v>7429302</v>
      </c>
      <c r="D43" s="129">
        <f>_xlfn.COMPOUNDVALUE(538)</f>
        <v>1210</v>
      </c>
      <c r="E43" s="130">
        <v>529234</v>
      </c>
      <c r="F43" s="129">
        <f>_xlfn.COMPOUNDVALUE(539)</f>
        <v>2832</v>
      </c>
      <c r="G43" s="130">
        <v>7958536</v>
      </c>
      <c r="H43" s="129">
        <f>_xlfn.COMPOUNDVALUE(540)</f>
        <v>124</v>
      </c>
      <c r="I43" s="131">
        <v>333289</v>
      </c>
      <c r="J43" s="129">
        <v>178</v>
      </c>
      <c r="K43" s="131">
        <v>19495</v>
      </c>
      <c r="L43" s="129">
        <v>3009</v>
      </c>
      <c r="M43" s="131">
        <v>7644742</v>
      </c>
      <c r="N43" s="126">
        <v>2843</v>
      </c>
      <c r="O43" s="144">
        <v>94</v>
      </c>
      <c r="P43" s="144">
        <v>7</v>
      </c>
      <c r="Q43" s="145">
        <v>2944</v>
      </c>
      <c r="R43" s="14" t="s">
        <v>127</v>
      </c>
    </row>
    <row r="44" spans="1:18" ht="15.75" customHeight="1">
      <c r="A44" s="13" t="s">
        <v>52</v>
      </c>
      <c r="B44" s="129">
        <f>_xlfn.COMPOUNDVALUE(541)</f>
        <v>1106</v>
      </c>
      <c r="C44" s="130">
        <v>5893000</v>
      </c>
      <c r="D44" s="129">
        <f>_xlfn.COMPOUNDVALUE(542)</f>
        <v>918</v>
      </c>
      <c r="E44" s="130">
        <v>385978</v>
      </c>
      <c r="F44" s="129">
        <f>_xlfn.COMPOUNDVALUE(543)</f>
        <v>2024</v>
      </c>
      <c r="G44" s="130">
        <v>6278978</v>
      </c>
      <c r="H44" s="129">
        <f>_xlfn.COMPOUNDVALUE(544)</f>
        <v>79</v>
      </c>
      <c r="I44" s="131">
        <v>567694</v>
      </c>
      <c r="J44" s="129">
        <v>93</v>
      </c>
      <c r="K44" s="131">
        <v>2033</v>
      </c>
      <c r="L44" s="129">
        <v>2117</v>
      </c>
      <c r="M44" s="131">
        <v>5713317</v>
      </c>
      <c r="N44" s="126">
        <v>1968</v>
      </c>
      <c r="O44" s="144">
        <v>50</v>
      </c>
      <c r="P44" s="144">
        <v>6</v>
      </c>
      <c r="Q44" s="145">
        <v>2024</v>
      </c>
      <c r="R44" s="14" t="s">
        <v>128</v>
      </c>
    </row>
    <row r="45" spans="1:18" ht="15.75" customHeight="1">
      <c r="A45" s="13" t="s">
        <v>53</v>
      </c>
      <c r="B45" s="129">
        <f>_xlfn.COMPOUNDVALUE(545)</f>
        <v>791</v>
      </c>
      <c r="C45" s="130">
        <v>3069560</v>
      </c>
      <c r="D45" s="129">
        <f>_xlfn.COMPOUNDVALUE(546)</f>
        <v>602</v>
      </c>
      <c r="E45" s="130">
        <v>245368</v>
      </c>
      <c r="F45" s="129">
        <f>_xlfn.COMPOUNDVALUE(547)</f>
        <v>1393</v>
      </c>
      <c r="G45" s="130">
        <v>3314929</v>
      </c>
      <c r="H45" s="129">
        <f>_xlfn.COMPOUNDVALUE(548)</f>
        <v>52</v>
      </c>
      <c r="I45" s="131">
        <v>270701</v>
      </c>
      <c r="J45" s="129">
        <v>52</v>
      </c>
      <c r="K45" s="131">
        <v>1128</v>
      </c>
      <c r="L45" s="129">
        <v>1454</v>
      </c>
      <c r="M45" s="131">
        <v>3045356</v>
      </c>
      <c r="N45" s="126">
        <v>1421</v>
      </c>
      <c r="O45" s="144">
        <v>35</v>
      </c>
      <c r="P45" s="144">
        <v>3</v>
      </c>
      <c r="Q45" s="145">
        <v>1459</v>
      </c>
      <c r="R45" s="14" t="s">
        <v>129</v>
      </c>
    </row>
    <row r="46" spans="1:18" ht="15.75" customHeight="1">
      <c r="A46" s="13" t="s">
        <v>54</v>
      </c>
      <c r="B46" s="129">
        <f>_xlfn.COMPOUNDVALUE(549)</f>
        <v>1499</v>
      </c>
      <c r="C46" s="130">
        <v>5558699</v>
      </c>
      <c r="D46" s="129">
        <f>_xlfn.COMPOUNDVALUE(550)</f>
        <v>1278</v>
      </c>
      <c r="E46" s="130">
        <v>563311</v>
      </c>
      <c r="F46" s="129">
        <f>_xlfn.COMPOUNDVALUE(551)</f>
        <v>2777</v>
      </c>
      <c r="G46" s="130">
        <v>6122010</v>
      </c>
      <c r="H46" s="129">
        <f>_xlfn.COMPOUNDVALUE(552)</f>
        <v>87</v>
      </c>
      <c r="I46" s="131">
        <v>189285</v>
      </c>
      <c r="J46" s="129">
        <v>130</v>
      </c>
      <c r="K46" s="131">
        <v>48668</v>
      </c>
      <c r="L46" s="129">
        <v>2896</v>
      </c>
      <c r="M46" s="131">
        <v>5981393</v>
      </c>
      <c r="N46" s="126">
        <v>2854</v>
      </c>
      <c r="O46" s="144">
        <v>60</v>
      </c>
      <c r="P46" s="144">
        <v>4</v>
      </c>
      <c r="Q46" s="145">
        <v>2918</v>
      </c>
      <c r="R46" s="14" t="s">
        <v>130</v>
      </c>
    </row>
    <row r="47" spans="1:18" ht="15.75" customHeight="1">
      <c r="A47" s="95" t="s">
        <v>55</v>
      </c>
      <c r="B47" s="146">
        <v>11497</v>
      </c>
      <c r="C47" s="147">
        <v>52875003</v>
      </c>
      <c r="D47" s="146">
        <v>9242</v>
      </c>
      <c r="E47" s="147">
        <v>4109871</v>
      </c>
      <c r="F47" s="146">
        <v>20739</v>
      </c>
      <c r="G47" s="147">
        <v>56984874</v>
      </c>
      <c r="H47" s="146">
        <v>677</v>
      </c>
      <c r="I47" s="148">
        <v>3737413</v>
      </c>
      <c r="J47" s="146">
        <v>1177</v>
      </c>
      <c r="K47" s="148">
        <v>139364</v>
      </c>
      <c r="L47" s="146">
        <v>21681</v>
      </c>
      <c r="M47" s="148">
        <v>53386826</v>
      </c>
      <c r="N47" s="146">
        <v>21139</v>
      </c>
      <c r="O47" s="149">
        <v>525</v>
      </c>
      <c r="P47" s="149">
        <v>42</v>
      </c>
      <c r="Q47" s="150">
        <v>21706</v>
      </c>
      <c r="R47" s="94" t="s">
        <v>131</v>
      </c>
    </row>
    <row r="48" spans="1:18" ht="15.75" customHeight="1">
      <c r="A48" s="96"/>
      <c r="B48" s="151"/>
      <c r="C48" s="152"/>
      <c r="D48" s="151"/>
      <c r="E48" s="152"/>
      <c r="F48" s="153"/>
      <c r="G48" s="152"/>
      <c r="H48" s="153"/>
      <c r="I48" s="152"/>
      <c r="J48" s="153"/>
      <c r="K48" s="152"/>
      <c r="L48" s="153"/>
      <c r="M48" s="152"/>
      <c r="N48" s="154"/>
      <c r="O48" s="155"/>
      <c r="P48" s="155"/>
      <c r="Q48" s="156"/>
      <c r="R48" s="97"/>
    </row>
    <row r="49" spans="1:18" ht="15.75" customHeight="1">
      <c r="A49" s="98" t="s">
        <v>56</v>
      </c>
      <c r="B49" s="157">
        <f>_xlfn.COMPOUNDVALUE(553)</f>
        <v>4573</v>
      </c>
      <c r="C49" s="158">
        <v>29068307</v>
      </c>
      <c r="D49" s="157">
        <f>_xlfn.COMPOUNDVALUE(554)</f>
        <v>3679</v>
      </c>
      <c r="E49" s="158">
        <v>1685481</v>
      </c>
      <c r="F49" s="157">
        <f>_xlfn.COMPOUNDVALUE(555)</f>
        <v>8252</v>
      </c>
      <c r="G49" s="158">
        <v>30753788</v>
      </c>
      <c r="H49" s="157">
        <f>_xlfn.COMPOUNDVALUE(556)</f>
        <v>214</v>
      </c>
      <c r="I49" s="159">
        <v>908025</v>
      </c>
      <c r="J49" s="157">
        <v>571</v>
      </c>
      <c r="K49" s="159">
        <v>83663</v>
      </c>
      <c r="L49" s="157">
        <v>8620</v>
      </c>
      <c r="M49" s="159">
        <v>29929425</v>
      </c>
      <c r="N49" s="157">
        <v>8466</v>
      </c>
      <c r="O49" s="160">
        <v>164</v>
      </c>
      <c r="P49" s="160">
        <v>22</v>
      </c>
      <c r="Q49" s="161">
        <v>8652</v>
      </c>
      <c r="R49" s="99" t="s">
        <v>132</v>
      </c>
    </row>
    <row r="50" spans="1:18" ht="15.75" customHeight="1">
      <c r="A50" s="13" t="s">
        <v>57</v>
      </c>
      <c r="B50" s="129">
        <f>_xlfn.COMPOUNDVALUE(557)</f>
        <v>2073</v>
      </c>
      <c r="C50" s="130">
        <v>9339764</v>
      </c>
      <c r="D50" s="129">
        <f>_xlfn.COMPOUNDVALUE(558)</f>
        <v>1619</v>
      </c>
      <c r="E50" s="130">
        <v>715890</v>
      </c>
      <c r="F50" s="129">
        <f>_xlfn.COMPOUNDVALUE(559)</f>
        <v>3692</v>
      </c>
      <c r="G50" s="130">
        <v>10055654</v>
      </c>
      <c r="H50" s="129">
        <f>_xlfn.COMPOUNDVALUE(560)</f>
        <v>117</v>
      </c>
      <c r="I50" s="131">
        <v>1270852</v>
      </c>
      <c r="J50" s="129">
        <v>182</v>
      </c>
      <c r="K50" s="131">
        <v>21674</v>
      </c>
      <c r="L50" s="129">
        <v>3839</v>
      </c>
      <c r="M50" s="131">
        <v>8806476</v>
      </c>
      <c r="N50" s="126">
        <v>3754</v>
      </c>
      <c r="O50" s="144">
        <v>85</v>
      </c>
      <c r="P50" s="144">
        <v>13</v>
      </c>
      <c r="Q50" s="145">
        <v>3852</v>
      </c>
      <c r="R50" s="14" t="s">
        <v>133</v>
      </c>
    </row>
    <row r="51" spans="1:18" ht="15.75" customHeight="1">
      <c r="A51" s="13" t="s">
        <v>58</v>
      </c>
      <c r="B51" s="129">
        <f>_xlfn.COMPOUNDVALUE(561)</f>
        <v>1813</v>
      </c>
      <c r="C51" s="130">
        <v>8327566</v>
      </c>
      <c r="D51" s="129">
        <f>_xlfn.COMPOUNDVALUE(562)</f>
        <v>1790</v>
      </c>
      <c r="E51" s="130">
        <v>737513</v>
      </c>
      <c r="F51" s="129">
        <f>_xlfn.COMPOUNDVALUE(563)</f>
        <v>3603</v>
      </c>
      <c r="G51" s="130">
        <v>9065079</v>
      </c>
      <c r="H51" s="129">
        <f>_xlfn.COMPOUNDVALUE(564)</f>
        <v>120</v>
      </c>
      <c r="I51" s="131">
        <v>520549</v>
      </c>
      <c r="J51" s="129">
        <v>237</v>
      </c>
      <c r="K51" s="131">
        <v>21038</v>
      </c>
      <c r="L51" s="129">
        <v>3779</v>
      </c>
      <c r="M51" s="131">
        <v>8565569</v>
      </c>
      <c r="N51" s="126">
        <v>3717</v>
      </c>
      <c r="O51" s="144">
        <v>73</v>
      </c>
      <c r="P51" s="144">
        <v>6</v>
      </c>
      <c r="Q51" s="145">
        <v>3796</v>
      </c>
      <c r="R51" s="14" t="s">
        <v>134</v>
      </c>
    </row>
    <row r="52" spans="1:18" ht="15.75" customHeight="1">
      <c r="A52" s="13" t="s">
        <v>59</v>
      </c>
      <c r="B52" s="129">
        <f>_xlfn.COMPOUNDVALUE(565)</f>
        <v>1499</v>
      </c>
      <c r="C52" s="130">
        <v>7490874</v>
      </c>
      <c r="D52" s="129">
        <f>_xlfn.COMPOUNDVALUE(566)</f>
        <v>1338</v>
      </c>
      <c r="E52" s="130">
        <v>541064</v>
      </c>
      <c r="F52" s="129">
        <f>_xlfn.COMPOUNDVALUE(567)</f>
        <v>2837</v>
      </c>
      <c r="G52" s="130">
        <v>8031938</v>
      </c>
      <c r="H52" s="129">
        <f>_xlfn.COMPOUNDVALUE(568)</f>
        <v>98</v>
      </c>
      <c r="I52" s="131">
        <v>183776</v>
      </c>
      <c r="J52" s="129">
        <v>182</v>
      </c>
      <c r="K52" s="131">
        <v>6469</v>
      </c>
      <c r="L52" s="129">
        <v>2966</v>
      </c>
      <c r="M52" s="131">
        <v>7854631</v>
      </c>
      <c r="N52" s="126">
        <v>2792</v>
      </c>
      <c r="O52" s="144">
        <v>50</v>
      </c>
      <c r="P52" s="144">
        <v>2</v>
      </c>
      <c r="Q52" s="145">
        <v>2844</v>
      </c>
      <c r="R52" s="14" t="s">
        <v>135</v>
      </c>
    </row>
    <row r="53" spans="1:18" ht="15.75" customHeight="1">
      <c r="A53" s="13" t="s">
        <v>60</v>
      </c>
      <c r="B53" s="129">
        <f>_xlfn.COMPOUNDVALUE(569)</f>
        <v>1025</v>
      </c>
      <c r="C53" s="130">
        <v>3760831</v>
      </c>
      <c r="D53" s="129">
        <f>_xlfn.COMPOUNDVALUE(570)</f>
        <v>906</v>
      </c>
      <c r="E53" s="130">
        <v>381429</v>
      </c>
      <c r="F53" s="129">
        <f>_xlfn.COMPOUNDVALUE(571)</f>
        <v>1931</v>
      </c>
      <c r="G53" s="130">
        <v>4142260</v>
      </c>
      <c r="H53" s="129">
        <f>_xlfn.COMPOUNDVALUE(572)</f>
        <v>51</v>
      </c>
      <c r="I53" s="131">
        <v>153319</v>
      </c>
      <c r="J53" s="129">
        <v>120</v>
      </c>
      <c r="K53" s="131">
        <v>22963</v>
      </c>
      <c r="L53" s="129">
        <v>2016</v>
      </c>
      <c r="M53" s="131">
        <v>4011905</v>
      </c>
      <c r="N53" s="126">
        <v>1983</v>
      </c>
      <c r="O53" s="144">
        <v>40</v>
      </c>
      <c r="P53" s="144">
        <v>2</v>
      </c>
      <c r="Q53" s="145">
        <v>2025</v>
      </c>
      <c r="R53" s="14" t="s">
        <v>136</v>
      </c>
    </row>
    <row r="54" spans="1:18" ht="15.75" customHeight="1">
      <c r="A54" s="13" t="s">
        <v>61</v>
      </c>
      <c r="B54" s="129">
        <f>_xlfn.COMPOUNDVALUE(573)</f>
        <v>975</v>
      </c>
      <c r="C54" s="130">
        <v>4920862</v>
      </c>
      <c r="D54" s="129">
        <f>_xlfn.COMPOUNDVALUE(574)</f>
        <v>934</v>
      </c>
      <c r="E54" s="130">
        <v>380091</v>
      </c>
      <c r="F54" s="129">
        <f>_xlfn.COMPOUNDVALUE(575)</f>
        <v>1909</v>
      </c>
      <c r="G54" s="130">
        <v>5300952</v>
      </c>
      <c r="H54" s="129">
        <f>_xlfn.COMPOUNDVALUE(576)</f>
        <v>46</v>
      </c>
      <c r="I54" s="131">
        <v>77230</v>
      </c>
      <c r="J54" s="129">
        <v>128</v>
      </c>
      <c r="K54" s="131">
        <v>10576</v>
      </c>
      <c r="L54" s="129">
        <v>1991</v>
      </c>
      <c r="M54" s="131">
        <v>5234298</v>
      </c>
      <c r="N54" s="126">
        <v>1861</v>
      </c>
      <c r="O54" s="144">
        <v>34</v>
      </c>
      <c r="P54" s="144">
        <v>4</v>
      </c>
      <c r="Q54" s="145">
        <v>1899</v>
      </c>
      <c r="R54" s="14" t="s">
        <v>137</v>
      </c>
    </row>
    <row r="55" spans="1:18" ht="15.75" customHeight="1">
      <c r="A55" s="13" t="s">
        <v>62</v>
      </c>
      <c r="B55" s="129">
        <f>_xlfn.COMPOUNDVALUE(577)</f>
        <v>1180</v>
      </c>
      <c r="C55" s="130">
        <v>5012032</v>
      </c>
      <c r="D55" s="129">
        <f>_xlfn.COMPOUNDVALUE(578)</f>
        <v>1039</v>
      </c>
      <c r="E55" s="130">
        <v>430705</v>
      </c>
      <c r="F55" s="129">
        <f>_xlfn.COMPOUNDVALUE(579)</f>
        <v>2219</v>
      </c>
      <c r="G55" s="130">
        <v>5442737</v>
      </c>
      <c r="H55" s="129">
        <f>_xlfn.COMPOUNDVALUE(580)</f>
        <v>62</v>
      </c>
      <c r="I55" s="131">
        <v>1683270</v>
      </c>
      <c r="J55" s="129">
        <v>149</v>
      </c>
      <c r="K55" s="131">
        <v>5222</v>
      </c>
      <c r="L55" s="129">
        <v>2313</v>
      </c>
      <c r="M55" s="131">
        <v>3764688</v>
      </c>
      <c r="N55" s="126">
        <v>2314</v>
      </c>
      <c r="O55" s="144">
        <v>47</v>
      </c>
      <c r="P55" s="144">
        <v>4</v>
      </c>
      <c r="Q55" s="145">
        <v>2365</v>
      </c>
      <c r="R55" s="14" t="s">
        <v>138</v>
      </c>
    </row>
    <row r="56" spans="1:18" ht="15.75" customHeight="1">
      <c r="A56" s="13" t="s">
        <v>63</v>
      </c>
      <c r="B56" s="129">
        <f>_xlfn.COMPOUNDVALUE(581)</f>
        <v>786</v>
      </c>
      <c r="C56" s="130">
        <v>3505764</v>
      </c>
      <c r="D56" s="129">
        <f>_xlfn.COMPOUNDVALUE(582)</f>
        <v>607</v>
      </c>
      <c r="E56" s="130">
        <v>257700</v>
      </c>
      <c r="F56" s="129">
        <f>_xlfn.COMPOUNDVALUE(583)</f>
        <v>1393</v>
      </c>
      <c r="G56" s="130">
        <v>3763465</v>
      </c>
      <c r="H56" s="129">
        <f>_xlfn.COMPOUNDVALUE(584)</f>
        <v>55</v>
      </c>
      <c r="I56" s="131">
        <v>114479</v>
      </c>
      <c r="J56" s="129">
        <v>95</v>
      </c>
      <c r="K56" s="131">
        <v>3955</v>
      </c>
      <c r="L56" s="129">
        <v>1471</v>
      </c>
      <c r="M56" s="131">
        <v>3652941</v>
      </c>
      <c r="N56" s="126">
        <v>1433</v>
      </c>
      <c r="O56" s="144">
        <v>36</v>
      </c>
      <c r="P56" s="144">
        <v>6</v>
      </c>
      <c r="Q56" s="145">
        <v>1475</v>
      </c>
      <c r="R56" s="14" t="s">
        <v>139</v>
      </c>
    </row>
    <row r="57" spans="1:18" ht="15.75" customHeight="1">
      <c r="A57" s="95" t="s">
        <v>64</v>
      </c>
      <c r="B57" s="146">
        <v>13924</v>
      </c>
      <c r="C57" s="147">
        <v>71425999</v>
      </c>
      <c r="D57" s="146">
        <v>11912</v>
      </c>
      <c r="E57" s="147">
        <v>5129873</v>
      </c>
      <c r="F57" s="146">
        <v>25836</v>
      </c>
      <c r="G57" s="147">
        <v>76555872</v>
      </c>
      <c r="H57" s="146">
        <v>763</v>
      </c>
      <c r="I57" s="148">
        <v>4911501</v>
      </c>
      <c r="J57" s="146">
        <v>1664</v>
      </c>
      <c r="K57" s="148">
        <v>175560</v>
      </c>
      <c r="L57" s="146">
        <v>26995</v>
      </c>
      <c r="M57" s="148">
        <v>71819931</v>
      </c>
      <c r="N57" s="146">
        <v>26320</v>
      </c>
      <c r="O57" s="149">
        <v>529</v>
      </c>
      <c r="P57" s="149">
        <v>59</v>
      </c>
      <c r="Q57" s="150">
        <v>26908</v>
      </c>
      <c r="R57" s="94" t="s">
        <v>140</v>
      </c>
    </row>
    <row r="58" spans="1:18" ht="15.75" customHeight="1">
      <c r="A58" s="96"/>
      <c r="B58" s="151"/>
      <c r="C58" s="152"/>
      <c r="D58" s="151"/>
      <c r="E58" s="152"/>
      <c r="F58" s="153"/>
      <c r="G58" s="152"/>
      <c r="H58" s="153"/>
      <c r="I58" s="152"/>
      <c r="J58" s="153"/>
      <c r="K58" s="152"/>
      <c r="L58" s="153"/>
      <c r="M58" s="152"/>
      <c r="N58" s="154"/>
      <c r="O58" s="155"/>
      <c r="P58" s="155"/>
      <c r="Q58" s="156"/>
      <c r="R58" s="97" t="s">
        <v>141</v>
      </c>
    </row>
    <row r="59" spans="1:18" ht="15.75" customHeight="1">
      <c r="A59" s="98" t="s">
        <v>65</v>
      </c>
      <c r="B59" s="157">
        <f>_xlfn.COMPOUNDVALUE(585)</f>
        <v>4390</v>
      </c>
      <c r="C59" s="158">
        <v>28774313</v>
      </c>
      <c r="D59" s="157">
        <f>_xlfn.COMPOUNDVALUE(586)</f>
        <v>3250</v>
      </c>
      <c r="E59" s="158">
        <v>1578165</v>
      </c>
      <c r="F59" s="157">
        <f>_xlfn.COMPOUNDVALUE(587)</f>
        <v>7640</v>
      </c>
      <c r="G59" s="158">
        <v>30352479</v>
      </c>
      <c r="H59" s="157">
        <f>_xlfn.COMPOUNDVALUE(588)</f>
        <v>220</v>
      </c>
      <c r="I59" s="159">
        <v>1474309</v>
      </c>
      <c r="J59" s="157">
        <v>506</v>
      </c>
      <c r="K59" s="159">
        <v>126388</v>
      </c>
      <c r="L59" s="157">
        <v>7970</v>
      </c>
      <c r="M59" s="159">
        <v>29004558</v>
      </c>
      <c r="N59" s="157">
        <v>8011</v>
      </c>
      <c r="O59" s="160">
        <v>186</v>
      </c>
      <c r="P59" s="160">
        <v>26</v>
      </c>
      <c r="Q59" s="161">
        <v>8223</v>
      </c>
      <c r="R59" s="99" t="s">
        <v>142</v>
      </c>
    </row>
    <row r="60" spans="1:18" ht="15.75" customHeight="1">
      <c r="A60" s="11" t="s">
        <v>66</v>
      </c>
      <c r="B60" s="126">
        <f>_xlfn.COMPOUNDVALUE(589)</f>
        <v>2208</v>
      </c>
      <c r="C60" s="127">
        <v>10319025</v>
      </c>
      <c r="D60" s="126">
        <f>_xlfn.COMPOUNDVALUE(590)</f>
        <v>2085</v>
      </c>
      <c r="E60" s="127">
        <v>938799</v>
      </c>
      <c r="F60" s="126">
        <f>_xlfn.COMPOUNDVALUE(591)</f>
        <v>4293</v>
      </c>
      <c r="G60" s="127">
        <v>11257825</v>
      </c>
      <c r="H60" s="126">
        <f>_xlfn.COMPOUNDVALUE(592)</f>
        <v>122</v>
      </c>
      <c r="I60" s="128">
        <v>411807</v>
      </c>
      <c r="J60" s="126">
        <v>314</v>
      </c>
      <c r="K60" s="128">
        <v>3463</v>
      </c>
      <c r="L60" s="126">
        <v>4505</v>
      </c>
      <c r="M60" s="128">
        <v>10849481</v>
      </c>
      <c r="N60" s="126">
        <v>4401</v>
      </c>
      <c r="O60" s="144">
        <v>92</v>
      </c>
      <c r="P60" s="144">
        <v>13</v>
      </c>
      <c r="Q60" s="145">
        <v>4506</v>
      </c>
      <c r="R60" s="14" t="s">
        <v>143</v>
      </c>
    </row>
    <row r="61" spans="1:18" ht="15.75" customHeight="1">
      <c r="A61" s="11" t="s">
        <v>67</v>
      </c>
      <c r="B61" s="126">
        <f>_xlfn.COMPOUNDVALUE(593)</f>
        <v>5640</v>
      </c>
      <c r="C61" s="127">
        <v>38653763</v>
      </c>
      <c r="D61" s="126">
        <f>_xlfn.COMPOUNDVALUE(594)</f>
        <v>3719</v>
      </c>
      <c r="E61" s="127">
        <v>1918422</v>
      </c>
      <c r="F61" s="126">
        <f>_xlfn.COMPOUNDVALUE(595)</f>
        <v>9359</v>
      </c>
      <c r="G61" s="127">
        <v>40572185</v>
      </c>
      <c r="H61" s="126">
        <f>_xlfn.COMPOUNDVALUE(596)</f>
        <v>311</v>
      </c>
      <c r="I61" s="128">
        <v>1714492</v>
      </c>
      <c r="J61" s="126">
        <v>567</v>
      </c>
      <c r="K61" s="128">
        <v>-1922071</v>
      </c>
      <c r="L61" s="126">
        <v>9883</v>
      </c>
      <c r="M61" s="128">
        <v>36935622</v>
      </c>
      <c r="N61" s="126">
        <v>9932</v>
      </c>
      <c r="O61" s="144">
        <v>236</v>
      </c>
      <c r="P61" s="144">
        <v>39</v>
      </c>
      <c r="Q61" s="145">
        <v>10207</v>
      </c>
      <c r="R61" s="14" t="s">
        <v>144</v>
      </c>
    </row>
    <row r="62" spans="1:18" ht="15.75" customHeight="1">
      <c r="A62" s="13" t="s">
        <v>68</v>
      </c>
      <c r="B62" s="129">
        <f>_xlfn.COMPOUNDVALUE(597)</f>
        <v>4598</v>
      </c>
      <c r="C62" s="130">
        <v>23916241</v>
      </c>
      <c r="D62" s="129">
        <f>_xlfn.COMPOUNDVALUE(598)</f>
        <v>3010</v>
      </c>
      <c r="E62" s="130">
        <v>1588753</v>
      </c>
      <c r="F62" s="129">
        <f>_xlfn.COMPOUNDVALUE(599)</f>
        <v>7608</v>
      </c>
      <c r="G62" s="130">
        <v>25504995</v>
      </c>
      <c r="H62" s="129">
        <f>_xlfn.COMPOUNDVALUE(600)</f>
        <v>306</v>
      </c>
      <c r="I62" s="131">
        <v>3142086</v>
      </c>
      <c r="J62" s="129">
        <v>490</v>
      </c>
      <c r="K62" s="131">
        <v>123480</v>
      </c>
      <c r="L62" s="129">
        <v>8088</v>
      </c>
      <c r="M62" s="131">
        <v>22486389</v>
      </c>
      <c r="N62" s="126">
        <v>7962</v>
      </c>
      <c r="O62" s="144">
        <v>206</v>
      </c>
      <c r="P62" s="144">
        <v>34</v>
      </c>
      <c r="Q62" s="145">
        <v>8202</v>
      </c>
      <c r="R62" s="14" t="s">
        <v>68</v>
      </c>
    </row>
    <row r="63" spans="1:18" ht="15.75" customHeight="1">
      <c r="A63" s="13" t="s">
        <v>69</v>
      </c>
      <c r="B63" s="129">
        <f>_xlfn.COMPOUNDVALUE(601)</f>
        <v>1750</v>
      </c>
      <c r="C63" s="130">
        <v>7445294</v>
      </c>
      <c r="D63" s="129">
        <f>_xlfn.COMPOUNDVALUE(602)</f>
        <v>1377</v>
      </c>
      <c r="E63" s="130">
        <v>646529</v>
      </c>
      <c r="F63" s="129">
        <f>_xlfn.COMPOUNDVALUE(603)</f>
        <v>3127</v>
      </c>
      <c r="G63" s="130">
        <v>8091823</v>
      </c>
      <c r="H63" s="129">
        <f>_xlfn.COMPOUNDVALUE(604)</f>
        <v>120</v>
      </c>
      <c r="I63" s="131">
        <v>365807</v>
      </c>
      <c r="J63" s="129">
        <v>222</v>
      </c>
      <c r="K63" s="131">
        <v>48579</v>
      </c>
      <c r="L63" s="129">
        <v>3350</v>
      </c>
      <c r="M63" s="131">
        <v>7774595</v>
      </c>
      <c r="N63" s="126">
        <v>3265</v>
      </c>
      <c r="O63" s="144">
        <v>99</v>
      </c>
      <c r="P63" s="144">
        <v>5</v>
      </c>
      <c r="Q63" s="145">
        <v>3369</v>
      </c>
      <c r="R63" s="14" t="s">
        <v>145</v>
      </c>
    </row>
    <row r="64" spans="1:18" ht="15.75" customHeight="1">
      <c r="A64" s="13" t="s">
        <v>70</v>
      </c>
      <c r="B64" s="129">
        <f>_xlfn.COMPOUNDVALUE(605)</f>
        <v>1666</v>
      </c>
      <c r="C64" s="130">
        <v>7342692</v>
      </c>
      <c r="D64" s="129">
        <f>_xlfn.COMPOUNDVALUE(606)</f>
        <v>1378</v>
      </c>
      <c r="E64" s="130">
        <v>599198</v>
      </c>
      <c r="F64" s="129">
        <f>_xlfn.COMPOUNDVALUE(607)</f>
        <v>3044</v>
      </c>
      <c r="G64" s="130">
        <v>7941890</v>
      </c>
      <c r="H64" s="129">
        <f>_xlfn.COMPOUNDVALUE(608)</f>
        <v>105</v>
      </c>
      <c r="I64" s="131">
        <v>559402</v>
      </c>
      <c r="J64" s="129">
        <v>149</v>
      </c>
      <c r="K64" s="131">
        <v>25786</v>
      </c>
      <c r="L64" s="129">
        <v>3199</v>
      </c>
      <c r="M64" s="131">
        <v>7408273</v>
      </c>
      <c r="N64" s="126">
        <v>3140</v>
      </c>
      <c r="O64" s="144">
        <v>73</v>
      </c>
      <c r="P64" s="144">
        <v>5</v>
      </c>
      <c r="Q64" s="145">
        <v>3218</v>
      </c>
      <c r="R64" s="14" t="s">
        <v>146</v>
      </c>
    </row>
    <row r="65" spans="1:18" ht="15.75" customHeight="1">
      <c r="A65" s="13" t="s">
        <v>71</v>
      </c>
      <c r="B65" s="129">
        <f>_xlfn.COMPOUNDVALUE(609)</f>
        <v>648</v>
      </c>
      <c r="C65" s="130">
        <v>2323571</v>
      </c>
      <c r="D65" s="129">
        <f>_xlfn.COMPOUNDVALUE(610)</f>
        <v>635</v>
      </c>
      <c r="E65" s="130">
        <v>273447</v>
      </c>
      <c r="F65" s="129">
        <f>_xlfn.COMPOUNDVALUE(611)</f>
        <v>1283</v>
      </c>
      <c r="G65" s="130">
        <v>2597018</v>
      </c>
      <c r="H65" s="129">
        <f>_xlfn.COMPOUNDVALUE(612)</f>
        <v>45</v>
      </c>
      <c r="I65" s="131">
        <v>54115</v>
      </c>
      <c r="J65" s="129">
        <v>86</v>
      </c>
      <c r="K65" s="131">
        <v>11359</v>
      </c>
      <c r="L65" s="129">
        <v>1352</v>
      </c>
      <c r="M65" s="131">
        <v>2554262</v>
      </c>
      <c r="N65" s="126">
        <v>1279</v>
      </c>
      <c r="O65" s="144">
        <v>28</v>
      </c>
      <c r="P65" s="144">
        <v>2</v>
      </c>
      <c r="Q65" s="145">
        <v>1309</v>
      </c>
      <c r="R65" s="14" t="s">
        <v>147</v>
      </c>
    </row>
    <row r="66" spans="1:18" ht="15.75" customHeight="1">
      <c r="A66" s="13" t="s">
        <v>72</v>
      </c>
      <c r="B66" s="129">
        <f>_xlfn.COMPOUNDVALUE(613)</f>
        <v>2035</v>
      </c>
      <c r="C66" s="130">
        <v>12072601</v>
      </c>
      <c r="D66" s="129">
        <f>_xlfn.COMPOUNDVALUE(614)</f>
        <v>1259</v>
      </c>
      <c r="E66" s="130">
        <v>693016</v>
      </c>
      <c r="F66" s="129">
        <f>_xlfn.COMPOUNDVALUE(615)</f>
        <v>3294</v>
      </c>
      <c r="G66" s="130">
        <v>12765617</v>
      </c>
      <c r="H66" s="129">
        <f>_xlfn.COMPOUNDVALUE(616)</f>
        <v>269</v>
      </c>
      <c r="I66" s="131">
        <v>1323040</v>
      </c>
      <c r="J66" s="129">
        <v>325</v>
      </c>
      <c r="K66" s="131">
        <v>97818</v>
      </c>
      <c r="L66" s="129">
        <v>3668</v>
      </c>
      <c r="M66" s="131">
        <v>11540395</v>
      </c>
      <c r="N66" s="126">
        <v>3947</v>
      </c>
      <c r="O66" s="144">
        <v>194</v>
      </c>
      <c r="P66" s="144">
        <v>18</v>
      </c>
      <c r="Q66" s="145">
        <v>4159</v>
      </c>
      <c r="R66" s="14" t="s">
        <v>148</v>
      </c>
    </row>
    <row r="67" spans="1:18" ht="15.75" customHeight="1">
      <c r="A67" s="13" t="s">
        <v>73</v>
      </c>
      <c r="B67" s="129">
        <f>_xlfn.COMPOUNDVALUE(617)</f>
        <v>1166</v>
      </c>
      <c r="C67" s="130">
        <v>5919583</v>
      </c>
      <c r="D67" s="129">
        <f>_xlfn.COMPOUNDVALUE(618)</f>
        <v>809</v>
      </c>
      <c r="E67" s="130">
        <v>372886</v>
      </c>
      <c r="F67" s="129">
        <f>_xlfn.COMPOUNDVALUE(619)</f>
        <v>1975</v>
      </c>
      <c r="G67" s="130">
        <v>6292469</v>
      </c>
      <c r="H67" s="129">
        <f>_xlfn.COMPOUNDVALUE(620)</f>
        <v>77</v>
      </c>
      <c r="I67" s="131">
        <v>123066</v>
      </c>
      <c r="J67" s="129">
        <v>121</v>
      </c>
      <c r="K67" s="131">
        <v>15223</v>
      </c>
      <c r="L67" s="129">
        <v>2077</v>
      </c>
      <c r="M67" s="131">
        <v>6184627</v>
      </c>
      <c r="N67" s="126">
        <v>2073</v>
      </c>
      <c r="O67" s="144">
        <v>70</v>
      </c>
      <c r="P67" s="144">
        <v>5</v>
      </c>
      <c r="Q67" s="145">
        <v>2148</v>
      </c>
      <c r="R67" s="14" t="s">
        <v>149</v>
      </c>
    </row>
    <row r="68" spans="1:18" ht="15.75" customHeight="1">
      <c r="A68" s="13" t="s">
        <v>74</v>
      </c>
      <c r="B68" s="129">
        <f>_xlfn.COMPOUNDVALUE(621)</f>
        <v>398</v>
      </c>
      <c r="C68" s="130">
        <v>1140567</v>
      </c>
      <c r="D68" s="129">
        <f>_xlfn.COMPOUNDVALUE(622)</f>
        <v>350</v>
      </c>
      <c r="E68" s="130">
        <v>155408</v>
      </c>
      <c r="F68" s="129">
        <f>_xlfn.COMPOUNDVALUE(623)</f>
        <v>748</v>
      </c>
      <c r="G68" s="130">
        <v>1295974</v>
      </c>
      <c r="H68" s="129">
        <f>_xlfn.COMPOUNDVALUE(624)</f>
        <v>32</v>
      </c>
      <c r="I68" s="131">
        <v>37938</v>
      </c>
      <c r="J68" s="129">
        <v>48</v>
      </c>
      <c r="K68" s="131">
        <v>-16403</v>
      </c>
      <c r="L68" s="129">
        <v>788</v>
      </c>
      <c r="M68" s="131">
        <v>1241634</v>
      </c>
      <c r="N68" s="126">
        <v>756</v>
      </c>
      <c r="O68" s="144">
        <v>17</v>
      </c>
      <c r="P68" s="144">
        <v>1</v>
      </c>
      <c r="Q68" s="145">
        <v>774</v>
      </c>
      <c r="R68" s="14" t="s">
        <v>150</v>
      </c>
    </row>
    <row r="69" spans="1:18" ht="15.75" customHeight="1">
      <c r="A69" s="95" t="s">
        <v>75</v>
      </c>
      <c r="B69" s="146">
        <v>24499</v>
      </c>
      <c r="C69" s="147">
        <v>137907652</v>
      </c>
      <c r="D69" s="146">
        <v>17872</v>
      </c>
      <c r="E69" s="147">
        <v>8764622</v>
      </c>
      <c r="F69" s="146">
        <v>42371</v>
      </c>
      <c r="G69" s="147">
        <v>146672274</v>
      </c>
      <c r="H69" s="146">
        <v>1607</v>
      </c>
      <c r="I69" s="148">
        <v>9206062</v>
      </c>
      <c r="J69" s="146">
        <v>2828</v>
      </c>
      <c r="K69" s="148">
        <v>-1486378</v>
      </c>
      <c r="L69" s="146">
        <v>44880</v>
      </c>
      <c r="M69" s="148">
        <v>135979834</v>
      </c>
      <c r="N69" s="146">
        <v>44766</v>
      </c>
      <c r="O69" s="149">
        <v>1201</v>
      </c>
      <c r="P69" s="149">
        <v>148</v>
      </c>
      <c r="Q69" s="150">
        <v>46115</v>
      </c>
      <c r="R69" s="94" t="s">
        <v>151</v>
      </c>
    </row>
    <row r="70" spans="1:18" ht="15.75" customHeight="1" thickBot="1">
      <c r="A70" s="18"/>
      <c r="B70" s="168"/>
      <c r="C70" s="169"/>
      <c r="D70" s="168"/>
      <c r="E70" s="169"/>
      <c r="F70" s="170"/>
      <c r="G70" s="169"/>
      <c r="H70" s="170"/>
      <c r="I70" s="169"/>
      <c r="J70" s="170"/>
      <c r="K70" s="169"/>
      <c r="L70" s="170"/>
      <c r="M70" s="169"/>
      <c r="N70" s="171"/>
      <c r="O70" s="172"/>
      <c r="P70" s="172"/>
      <c r="Q70" s="173"/>
      <c r="R70" s="93"/>
    </row>
    <row r="71" spans="1:18" ht="15.75" customHeight="1" thickBot="1" thickTop="1">
      <c r="A71" s="21" t="s">
        <v>94</v>
      </c>
      <c r="B71" s="141">
        <v>109095</v>
      </c>
      <c r="C71" s="142">
        <v>750871475</v>
      </c>
      <c r="D71" s="141">
        <v>80872</v>
      </c>
      <c r="E71" s="142">
        <v>38497621</v>
      </c>
      <c r="F71" s="141">
        <v>189967</v>
      </c>
      <c r="G71" s="142">
        <v>789369096</v>
      </c>
      <c r="H71" s="141">
        <v>6888</v>
      </c>
      <c r="I71" s="143">
        <v>39874048</v>
      </c>
      <c r="J71" s="141">
        <v>12704</v>
      </c>
      <c r="K71" s="143">
        <v>523240</v>
      </c>
      <c r="L71" s="141">
        <v>200287</v>
      </c>
      <c r="M71" s="143">
        <v>750018287</v>
      </c>
      <c r="N71" s="174">
        <v>198751</v>
      </c>
      <c r="O71" s="175">
        <v>5090</v>
      </c>
      <c r="P71" s="175">
        <v>533</v>
      </c>
      <c r="Q71" s="176">
        <v>204374</v>
      </c>
      <c r="R71" s="32" t="s">
        <v>94</v>
      </c>
    </row>
    <row r="72" spans="1:10" ht="19.5" customHeight="1">
      <c r="A72" s="226" t="s">
        <v>244</v>
      </c>
      <c r="B72" s="226"/>
      <c r="C72" s="226"/>
      <c r="D72" s="226"/>
      <c r="E72" s="226"/>
      <c r="F72" s="226"/>
      <c r="G72" s="226"/>
      <c r="H72" s="226"/>
      <c r="I72" s="226"/>
      <c r="J72" s="226"/>
    </row>
  </sheetData>
  <sheetProtection/>
  <mergeCells count="16">
    <mergeCell ref="A2:I2"/>
    <mergeCell ref="A3:A5"/>
    <mergeCell ref="B3:G3"/>
    <mergeCell ref="H3:I4"/>
    <mergeCell ref="R3:R5"/>
    <mergeCell ref="B4:C4"/>
    <mergeCell ref="D4:E4"/>
    <mergeCell ref="F4:G4"/>
    <mergeCell ref="N4:N5"/>
    <mergeCell ref="A72:J72"/>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(H28)</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2018-05-07T08:30:59Z</cp:lastPrinted>
  <dcterms:created xsi:type="dcterms:W3CDTF">2011-12-09T10:59:54Z</dcterms:created>
  <dcterms:modified xsi:type="dcterms:W3CDTF">2018-05-30T07:40:06Z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