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25" firstSheet="2"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<sst xmlns="http://schemas.openxmlformats.org/spreadsheetml/2006/main" count="551" uniqueCount="251">
  <si>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</si>
  <si>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</si>
  <si>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</si>
  <si>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</si>
  <si>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</si>
  <si>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</si>
  <si>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</si>
  <si>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</si>
  <si>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</si>
  <si>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</si>
  <si>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</si>
  <si>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</si>
  <si>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</si>
  <si>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</si>
  <si>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</si>
  <si>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</si>
  <si>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</si>
  <si>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</si>
  <si>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</si>
  <si>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</si>
  <si>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</si>
  <si>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</si>
  <si>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</si>
  <si>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</si>
  <si>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</si>
  <si>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</si>
  <si>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</si>
  <si>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</si>
  <si>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</si>
  <si>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</si>
  <si>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</si>
  <si>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</si>
  <si>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</si>
  <si>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</si>
  <si>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</si>
  <si>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</si>
  <si>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</si>
  <si>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</si>
  <si>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</si>
  <si>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</si>
  <si>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</si>
  <si>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</si>
  <si>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</si>
  <si>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</si>
  <si>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</si>
  <si>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</si>
  <si>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</si>
  <si>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</si>
  <si>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</si>
  <si>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</si>
  <si>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</si>
  <si>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</si>
  <si>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</si>
  <si>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</si>
  <si>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</si>
  <si>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</si>
  <si>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</si>
  <si>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</si>
  <si>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</si>
  <si>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</si>
  <si>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</si>
  <si>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</si>
  <si>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</si>
  <si>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</si>
  <si>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</si>
  <si>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</si>
  <si>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</si>
  <si>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</si>
  <si>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</si>
  <si>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</si>
  <si>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</si>
  <si>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</si>
  <si>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</si>
  <si>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</si>
  <si>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</si>
  <si>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</si>
  <si>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</si>
  <si>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(4)　税務署別課税状況（続）</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</si>
  <si>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</si>
  <si>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</si>
  <si>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</si>
  <si>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</si>
  <si>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</si>
  <si>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</si>
  <si>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</si>
  <si>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</si>
  <si>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</si>
  <si>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</si>
  <si>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</si>
  <si>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</si>
  <si>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</si>
  <si>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</si>
  <si>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</si>
  <si>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</si>
  <si>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</si>
  <si>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</si>
  <si>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</si>
  <si>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</si>
  <si>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</si>
  <si>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</si>
  <si>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</si>
  <si>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</si>
  <si>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</si>
  <si>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</si>
  <si>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</si>
  <si>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</si>
  <si>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</si>
  <si>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</si>
  <si>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</si>
  <si>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</si>
  <si>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</si>
  <si>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</si>
  <si>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</si>
  <si>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</si>
  <si>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</si>
  <si>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</si>
  <si>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</si>
  <si>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</si>
  <si>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</si>
  <si>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</si>
  <si>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</si>
  <si>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</si>
  <si>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</si>
  <si>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</si>
  <si>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</si>
  <si>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</si>
  <si>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</si>
  <si>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</si>
  <si>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</si>
  <si>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</si>
  <si>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</si>
  <si>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</si>
  <si>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</si>
  <si>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</si>
  <si>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</si>
  <si>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</si>
  <si>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</si>
  <si>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</si>
  <si>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</si>
  <si>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</si>
  <si>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</si>
  <si>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</si>
  <si>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</si>
  <si>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</si>
  <si>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</si>
  <si>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</si>
  <si>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</si>
  <si>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</si>
  <si>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</si>
  <si>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</si>
  <si>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</si>
  <si>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</si>
  <si>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</si>
  <si>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</si>
  <si>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７　消　費　税</t>
  </si>
  <si>
    <t>区　　　分</t>
  </si>
  <si>
    <t>件　　　数</t>
  </si>
  <si>
    <t>税　　　額</t>
  </si>
  <si>
    <t>件</t>
  </si>
  <si>
    <t>千円</t>
  </si>
  <si>
    <t>差引計</t>
  </si>
  <si>
    <t>実</t>
  </si>
  <si>
    <t>加算税</t>
  </si>
  <si>
    <t>(2)　課税状況の累年比較</t>
  </si>
  <si>
    <t>納税申告計</t>
  </si>
  <si>
    <t>平成23年度</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</si>
  <si>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</si>
  <si>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</si>
  <si>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</si>
  <si>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</si>
  <si>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</si>
  <si>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</si>
  <si>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平成24年度</t>
  </si>
  <si>
    <t>　「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</si>
  <si>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平成25年度</t>
  </si>
  <si>
    <t>調査対象等：　平成25年度末（平成26年３月31日現在）の届出件数を示している。</t>
  </si>
  <si>
    <t>調査対象等：</t>
  </si>
  <si>
    <t>　「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</si>
  <si>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（注）１　税関分は含まない。</t>
  </si>
  <si>
    <t>　　　２　「件数欄」の「実」は、実件数を示す。</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</si>
  <si>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</si>
  <si>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</si>
  <si>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</si>
  <si>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</si>
  <si>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</si>
  <si>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</si>
  <si>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</si>
  <si>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</si>
  <si>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</si>
  <si>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</si>
  <si>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</si>
  <si>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</si>
  <si>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</si>
  <si>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</si>
  <si>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</si>
  <si>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</si>
  <si>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平成21年度</t>
  </si>
  <si>
    <t>平成22年度</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</si>
  <si>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</si>
  <si>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</si>
  <si>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</si>
  <si>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</si>
  <si>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</si>
  <si>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</si>
  <si>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</si>
  <si>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</si>
  <si>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</si>
  <si>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</si>
  <si>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</si>
  <si>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</si>
  <si>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</si>
  <si>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</si>
  <si>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</si>
  <si>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</si>
  <si>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</si>
  <si>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</si>
  <si>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</si>
  <si>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</si>
  <si>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</si>
  <si>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</si>
  <si>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</si>
  <si>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</si>
  <si>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</si>
  <si>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</si>
  <si>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</si>
  <si>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</si>
  <si>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</si>
  <si>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</si>
  <si>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</si>
  <si>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</si>
  <si>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</si>
  <si>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</si>
  <si>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</si>
  <si>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</si>
  <si>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</si>
  <si>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</si>
  <si>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</si>
  <si>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</si>
  <si>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</si>
  <si>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</si>
  <si>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</si>
  <si>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</si>
  <si>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</si>
  <si>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</si>
  <si>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</si>
  <si>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</si>
  <si>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</si>
  <si>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</si>
  <si>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</si>
  <si>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（注）　この表は、「(1)　課税状況」の現年分を税務署別に示したものである（加算税を除く。）。</t>
  </si>
  <si>
    <t>（注）　この表は、「(1)　課税状況」の現年分及び「(3)　課税事業者等届出件数」を税務署別に示したものである（加算税を除く。）。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</si>
</sst>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style="hair"/>
      <top style="hair"/>
      <bottom style="thin"/>
    </border>
    <border>
      <left style="medium"/>
      <right style="hair"/>
      <top style="hair"/>
      <bottom style="medium"/>
    </border>
    <border>
      <left style="thin"/>
      <right style="thin"/>
      <top style="medium"/>
      <bottom style="thin"/>
    </border>
    <border>
      <left/>
      <right/>
      <top style="medium"/>
      <bottom/>
    </border>
    <border>
      <left/>
      <right style="medium"/>
      <top style="medium"/>
      <bottom/>
    </border>
    <border>
      <left style="medium"/>
      <right style="hair"/>
      <top/>
      <bottom style="hair"/>
    </border>
    <border>
      <left style="medium"/>
      <right style="hair"/>
      <top style="thin"/>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5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30" xfId="60" applyFont="1" applyBorder="1" applyAlignment="1">
      <alignment horizontal="center" vertical="center"/>
      <protection/>
    </xf>
    <xf numFmtId="0" fontId="3" fillId="0" borderId="31"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2" xfId="60" applyFont="1" applyBorder="1" applyAlignment="1">
      <alignment horizontal="centerContinuous" vertical="center" wrapText="1"/>
      <protection/>
    </xf>
    <xf numFmtId="0" fontId="12" fillId="0" borderId="0" xfId="60" applyFont="1">
      <alignment/>
      <protection/>
    </xf>
    <xf numFmtId="0" fontId="3" fillId="0" borderId="32" xfId="60" applyFont="1" applyBorder="1" applyAlignment="1">
      <alignment horizontal="center" vertical="center"/>
      <protection/>
    </xf>
    <xf numFmtId="0" fontId="3" fillId="0" borderId="28"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3"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3" xfId="60" applyFont="1" applyFill="1" applyBorder="1" applyAlignment="1">
      <alignment horizontal="right" vertical="top"/>
      <protection/>
    </xf>
    <xf numFmtId="0" fontId="3" fillId="0" borderId="34" xfId="60" applyFont="1" applyBorder="1" applyAlignment="1">
      <alignment horizontal="distributed" vertical="center"/>
      <protection/>
    </xf>
    <xf numFmtId="0" fontId="3" fillId="0" borderId="35" xfId="60" applyFont="1" applyBorder="1" applyAlignment="1">
      <alignment horizontal="right" vertical="center"/>
      <protection/>
    </xf>
    <xf numFmtId="3" fontId="3" fillId="35" borderId="34" xfId="60" applyNumberFormat="1" applyFont="1" applyFill="1" applyBorder="1" applyAlignment="1">
      <alignment horizontal="right" vertical="center"/>
      <protection/>
    </xf>
    <xf numFmtId="3" fontId="3" fillId="0" borderId="35" xfId="60" applyNumberFormat="1"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0" fontId="8" fillId="0" borderId="37" xfId="60" applyFont="1" applyBorder="1" applyAlignment="1">
      <alignment horizontal="distributed" vertical="center"/>
      <protection/>
    </xf>
    <xf numFmtId="0" fontId="8" fillId="0" borderId="35" xfId="60" applyFont="1" applyBorder="1" applyAlignment="1">
      <alignment horizontal="right" vertical="center"/>
      <protection/>
    </xf>
    <xf numFmtId="0" fontId="8" fillId="0" borderId="0" xfId="60" applyFont="1" applyAlignment="1">
      <alignment horizontal="left" vertical="top"/>
      <protection/>
    </xf>
    <xf numFmtId="0" fontId="3" fillId="0" borderId="38" xfId="60" applyFont="1" applyBorder="1" applyAlignment="1">
      <alignment horizontal="distributed" vertical="center"/>
      <protection/>
    </xf>
    <xf numFmtId="0" fontId="3" fillId="0" borderId="39"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0" xfId="60" applyNumberFormat="1" applyFont="1" applyFill="1" applyBorder="1" applyAlignment="1">
      <alignment horizontal="right" vertical="center"/>
      <protection/>
    </xf>
    <xf numFmtId="0" fontId="3" fillId="0" borderId="37" xfId="60" applyFont="1" applyBorder="1" applyAlignment="1">
      <alignment horizontal="distributed" vertical="center" wrapText="1"/>
      <protection/>
    </xf>
    <xf numFmtId="0" fontId="3" fillId="0" borderId="35" xfId="60" applyFont="1" applyBorder="1" applyAlignment="1">
      <alignment horizontal="center" vertical="center"/>
      <protection/>
    </xf>
    <xf numFmtId="3" fontId="3" fillId="0" borderId="35" xfId="60" applyNumberFormat="1" applyFont="1" applyBorder="1" applyAlignment="1">
      <alignment horizontal="center" vertical="center"/>
      <protection/>
    </xf>
    <xf numFmtId="0" fontId="8" fillId="0" borderId="41" xfId="60" applyFont="1" applyBorder="1" applyAlignment="1">
      <alignment horizontal="right" vertical="center"/>
      <protection/>
    </xf>
    <xf numFmtId="0" fontId="3" fillId="0" borderId="42" xfId="60" applyFont="1" applyBorder="1" applyAlignment="1">
      <alignment horizontal="right" vertical="center"/>
      <protection/>
    </xf>
    <xf numFmtId="3" fontId="3" fillId="0" borderId="42" xfId="60" applyNumberFormat="1" applyFont="1" applyBorder="1" applyAlignment="1">
      <alignment horizontal="right" vertical="center"/>
      <protection/>
    </xf>
    <xf numFmtId="0" fontId="3" fillId="0" borderId="0" xfId="60" applyFont="1" applyAlignment="1" quotePrefix="1">
      <alignment horizontal="left" vertical="top"/>
      <protection/>
    </xf>
    <xf numFmtId="0" fontId="3" fillId="0" borderId="43"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3" xfId="60" applyFont="1" applyFill="1" applyBorder="1" applyAlignment="1">
      <alignment horizontal="right"/>
      <protection/>
    </xf>
    <xf numFmtId="0" fontId="3" fillId="0" borderId="0" xfId="60" applyFont="1" applyAlignment="1">
      <alignment horizontal="left"/>
      <protection/>
    </xf>
    <xf numFmtId="3" fontId="3" fillId="34" borderId="45"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6"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3" fontId="3" fillId="35" borderId="47"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3" fontId="3" fillId="34" borderId="48" xfId="60" applyNumberFormat="1" applyFont="1" applyFill="1" applyBorder="1" applyAlignment="1">
      <alignment horizontal="right" vertical="center"/>
      <protection/>
    </xf>
    <xf numFmtId="0" fontId="3" fillId="0" borderId="49"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0" xfId="60" applyFont="1" applyBorder="1" applyAlignment="1">
      <alignment horizontal="distributed" vertical="center"/>
      <protection/>
    </xf>
    <xf numFmtId="0" fontId="3" fillId="0" borderId="51" xfId="60" applyFont="1" applyBorder="1" applyAlignment="1">
      <alignment horizontal="distributed" vertical="center"/>
      <protection/>
    </xf>
    <xf numFmtId="0" fontId="3" fillId="0" borderId="52" xfId="60" applyFont="1" applyBorder="1" applyAlignment="1">
      <alignment horizontal="center" vertical="center"/>
      <protection/>
    </xf>
    <xf numFmtId="0" fontId="3" fillId="0" borderId="53" xfId="60" applyFont="1" applyBorder="1" applyAlignment="1">
      <alignment horizontal="distributed" vertical="center" indent="1"/>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56"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7" xfId="60" applyFont="1" applyFill="1" applyBorder="1" applyAlignment="1">
      <alignment horizontal="distributed" vertical="center"/>
      <protection/>
    </xf>
    <xf numFmtId="0" fontId="10" fillId="0" borderId="58" xfId="60" applyFont="1" applyFill="1" applyBorder="1" applyAlignment="1">
      <alignment horizontal="center" vertical="center"/>
      <protection/>
    </xf>
    <xf numFmtId="0" fontId="8" fillId="36" borderId="59" xfId="60" applyFont="1" applyFill="1" applyBorder="1" applyAlignment="1">
      <alignment horizontal="distributed" vertical="center"/>
      <protection/>
    </xf>
    <xf numFmtId="0" fontId="8" fillId="36" borderId="60" xfId="60" applyFont="1" applyFill="1" applyBorder="1" applyAlignment="1">
      <alignment horizontal="distributed" vertical="center"/>
      <protection/>
    </xf>
    <xf numFmtId="0" fontId="10" fillId="0" borderId="61" xfId="60" applyFont="1" applyFill="1" applyBorder="1" applyAlignment="1">
      <alignment horizontal="distributed" vertical="center"/>
      <protection/>
    </xf>
    <xf numFmtId="0" fontId="10" fillId="0" borderId="62" xfId="60" applyFont="1" applyFill="1" applyBorder="1" applyAlignment="1">
      <alignment horizontal="center" vertical="center"/>
      <protection/>
    </xf>
    <xf numFmtId="0" fontId="3" fillId="36" borderId="63" xfId="60" applyFont="1" applyFill="1" applyBorder="1" applyAlignment="1">
      <alignment horizontal="distributed" vertical="center"/>
      <protection/>
    </xf>
    <xf numFmtId="0" fontId="3" fillId="36" borderId="64" xfId="60" applyFont="1" applyFill="1" applyBorder="1" applyAlignment="1">
      <alignment horizontal="distributed" vertical="center"/>
      <protection/>
    </xf>
    <xf numFmtId="0" fontId="10" fillId="0" borderId="65" xfId="60" applyFont="1" applyFill="1" applyBorder="1" applyAlignment="1">
      <alignment horizontal="distributed" vertical="center"/>
      <protection/>
    </xf>
    <xf numFmtId="0" fontId="10" fillId="0" borderId="66" xfId="60" applyFont="1" applyFill="1" applyBorder="1" applyAlignment="1">
      <alignment horizontal="center" vertical="center"/>
      <protection/>
    </xf>
    <xf numFmtId="0" fontId="10" fillId="0" borderId="67" xfId="60" applyFont="1" applyFill="1" applyBorder="1" applyAlignment="1">
      <alignment horizontal="distributed" vertical="center"/>
      <protection/>
    </xf>
    <xf numFmtId="0" fontId="10" fillId="0" borderId="68" xfId="60" applyFont="1" applyFill="1" applyBorder="1" applyAlignment="1">
      <alignment horizontal="center" vertical="center"/>
      <protection/>
    </xf>
    <xf numFmtId="3" fontId="3" fillId="34" borderId="69" xfId="60" applyNumberFormat="1" applyFont="1" applyFill="1" applyBorder="1" applyAlignment="1">
      <alignment horizontal="right" vertical="center"/>
      <protection/>
    </xf>
    <xf numFmtId="3" fontId="3" fillId="34" borderId="70"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71" xfId="60" applyNumberFormat="1" applyFont="1" applyFill="1" applyBorder="1" applyAlignment="1">
      <alignment horizontal="right" vertical="center"/>
      <protection/>
    </xf>
    <xf numFmtId="3" fontId="8" fillId="34" borderId="70" xfId="60" applyNumberFormat="1" applyFont="1" applyFill="1" applyBorder="1" applyAlignment="1">
      <alignment horizontal="right" vertical="center"/>
      <protection/>
    </xf>
    <xf numFmtId="3" fontId="8" fillId="35" borderId="37" xfId="60" applyNumberFormat="1" applyFont="1" applyFill="1" applyBorder="1" applyAlignment="1">
      <alignment horizontal="right" vertical="center"/>
      <protection/>
    </xf>
    <xf numFmtId="3" fontId="8" fillId="35" borderId="71" xfId="60" applyNumberFormat="1" applyFont="1" applyFill="1" applyBorder="1" applyAlignment="1">
      <alignment horizontal="right" vertical="center"/>
      <protection/>
    </xf>
    <xf numFmtId="3" fontId="3" fillId="34"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4" borderId="75" xfId="60" applyNumberFormat="1" applyFont="1" applyFill="1" applyBorder="1" applyAlignment="1">
      <alignment horizontal="right" vertical="center"/>
      <protection/>
    </xf>
    <xf numFmtId="3" fontId="3" fillId="34" borderId="75" xfId="60" applyNumberFormat="1" applyFont="1" applyFill="1" applyBorder="1" applyAlignment="1">
      <alignment vertical="center"/>
      <protection/>
    </xf>
    <xf numFmtId="3" fontId="3" fillId="34" borderId="70" xfId="60" applyNumberFormat="1" applyFont="1" applyFill="1" applyBorder="1" applyAlignment="1">
      <alignment vertical="center"/>
      <protection/>
    </xf>
    <xf numFmtId="3" fontId="8" fillId="34"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8" fillId="35" borderId="78" xfId="60" applyNumberFormat="1" applyFont="1" applyFill="1" applyBorder="1" applyAlignment="1">
      <alignment horizontal="right" vertical="center"/>
      <protection/>
    </xf>
    <xf numFmtId="3" fontId="3" fillId="34"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5" borderId="81" xfId="60" applyNumberFormat="1" applyFont="1" applyFill="1" applyBorder="1" applyAlignment="1">
      <alignment horizontal="right" vertical="center"/>
      <protection/>
    </xf>
    <xf numFmtId="3" fontId="3" fillId="34" borderId="82"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3" fontId="3" fillId="35" borderId="83" xfId="60" applyNumberFormat="1" applyFont="1" applyFill="1" applyBorder="1" applyAlignment="1">
      <alignment horizontal="right" vertical="center"/>
      <protection/>
    </xf>
    <xf numFmtId="3" fontId="3" fillId="34" borderId="84" xfId="60" applyNumberFormat="1" applyFont="1" applyFill="1" applyBorder="1" applyAlignment="1">
      <alignment horizontal="right" vertical="center" indent="1"/>
      <protection/>
    </xf>
    <xf numFmtId="3" fontId="3" fillId="34" borderId="85" xfId="60" applyNumberFormat="1" applyFont="1" applyFill="1" applyBorder="1" applyAlignment="1">
      <alignment horizontal="right" vertical="center" indent="1"/>
      <protection/>
    </xf>
    <xf numFmtId="3" fontId="3" fillId="34" borderId="86"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176" fontId="3" fillId="34" borderId="45"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87" xfId="60" applyNumberFormat="1" applyFont="1" applyFill="1" applyBorder="1" applyAlignment="1">
      <alignment horizontal="right" vertical="center"/>
      <protection/>
    </xf>
    <xf numFmtId="176" fontId="3" fillId="34" borderId="88" xfId="60" applyNumberFormat="1" applyFont="1" applyFill="1" applyBorder="1" applyAlignment="1">
      <alignment horizontal="right" vertical="center"/>
      <protection/>
    </xf>
    <xf numFmtId="176" fontId="3" fillId="35" borderId="37" xfId="60" applyNumberFormat="1" applyFont="1" applyFill="1" applyBorder="1" applyAlignment="1">
      <alignment horizontal="right" vertical="center"/>
      <protection/>
    </xf>
    <xf numFmtId="176" fontId="3" fillId="35" borderId="89" xfId="60" applyNumberFormat="1" applyFont="1" applyFill="1" applyBorder="1" applyAlignment="1">
      <alignment horizontal="right" vertical="center"/>
      <protection/>
    </xf>
    <xf numFmtId="176" fontId="8" fillId="34" borderId="90" xfId="60" applyNumberFormat="1" applyFont="1" applyFill="1" applyBorder="1" applyAlignment="1">
      <alignment horizontal="right" vertical="center"/>
      <protection/>
    </xf>
    <xf numFmtId="176" fontId="8" fillId="35" borderId="91" xfId="60" applyNumberFormat="1" applyFont="1" applyFill="1" applyBorder="1" applyAlignment="1">
      <alignment horizontal="right" vertical="center"/>
      <protection/>
    </xf>
    <xf numFmtId="176" fontId="8" fillId="35" borderId="92" xfId="60" applyNumberFormat="1" applyFont="1" applyFill="1" applyBorder="1" applyAlignment="1">
      <alignment horizontal="right" vertical="center"/>
      <protection/>
    </xf>
    <xf numFmtId="176" fontId="10" fillId="0"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10" fillId="0" borderId="95" xfId="60" applyNumberFormat="1" applyFont="1" applyFill="1" applyBorder="1" applyAlignment="1">
      <alignment horizontal="right" vertical="center"/>
      <protection/>
    </xf>
    <xf numFmtId="176" fontId="10" fillId="0" borderId="96" xfId="60" applyNumberFormat="1" applyFont="1" applyFill="1" applyBorder="1" applyAlignment="1">
      <alignment horizontal="right" vertical="center"/>
      <protection/>
    </xf>
    <xf numFmtId="176" fontId="10" fillId="0" borderId="97" xfId="60" applyNumberFormat="1" applyFont="1" applyFill="1" applyBorder="1" applyAlignment="1">
      <alignment horizontal="right" vertical="center"/>
      <protection/>
    </xf>
    <xf numFmtId="176" fontId="10" fillId="0" borderId="98" xfId="60" applyNumberFormat="1" applyFont="1" applyFill="1" applyBorder="1" applyAlignment="1">
      <alignment horizontal="right" vertical="center"/>
      <protection/>
    </xf>
    <xf numFmtId="176" fontId="3" fillId="0" borderId="99" xfId="60" applyNumberFormat="1" applyFont="1" applyFill="1" applyBorder="1" applyAlignment="1">
      <alignment horizontal="right" vertical="center"/>
      <protection/>
    </xf>
    <xf numFmtId="176" fontId="3" fillId="0" borderId="100" xfId="60" applyNumberFormat="1" applyFont="1" applyFill="1" applyBorder="1" applyAlignment="1">
      <alignment horizontal="right" vertical="center"/>
      <protection/>
    </xf>
    <xf numFmtId="176" fontId="3" fillId="0" borderId="101" xfId="60" applyNumberFormat="1" applyFont="1" applyFill="1" applyBorder="1" applyAlignment="1">
      <alignment horizontal="right" vertical="center"/>
      <protection/>
    </xf>
    <xf numFmtId="176" fontId="8" fillId="34" borderId="42" xfId="60" applyNumberFormat="1" applyFont="1" applyFill="1" applyBorder="1" applyAlignment="1">
      <alignment horizontal="right" vertical="center"/>
      <protection/>
    </xf>
    <xf numFmtId="176" fontId="8" fillId="35" borderId="80" xfId="60" applyNumberFormat="1" applyFont="1" applyFill="1" applyBorder="1" applyAlignment="1">
      <alignment horizontal="right" vertical="center"/>
      <protection/>
    </xf>
    <xf numFmtId="176" fontId="8" fillId="35" borderId="102" xfId="60" applyNumberFormat="1" applyFont="1" applyFill="1" applyBorder="1" applyAlignment="1">
      <alignment horizontal="right" vertical="center"/>
      <protection/>
    </xf>
    <xf numFmtId="176" fontId="3" fillId="34" borderId="69"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8" fillId="34" borderId="103" xfId="60" applyNumberFormat="1" applyFont="1" applyFill="1" applyBorder="1" applyAlignment="1">
      <alignment horizontal="right" vertical="center"/>
      <protection/>
    </xf>
    <xf numFmtId="176" fontId="8" fillId="35" borderId="104" xfId="60" applyNumberFormat="1" applyFont="1" applyFill="1" applyBorder="1" applyAlignment="1">
      <alignment horizontal="right" vertical="center"/>
      <protection/>
    </xf>
    <xf numFmtId="176" fontId="8" fillId="35" borderId="105" xfId="60" applyNumberFormat="1" applyFont="1" applyFill="1" applyBorder="1" applyAlignment="1">
      <alignment horizontal="right" vertical="center"/>
      <protection/>
    </xf>
    <xf numFmtId="176" fontId="8" fillId="34" borderId="106" xfId="60" applyNumberFormat="1" applyFont="1" applyFill="1" applyBorder="1" applyAlignment="1">
      <alignment horizontal="right" vertical="center"/>
      <protection/>
    </xf>
    <xf numFmtId="176" fontId="8" fillId="34" borderId="105" xfId="60" applyNumberFormat="1" applyFont="1" applyFill="1" applyBorder="1" applyAlignment="1">
      <alignment horizontal="right" vertical="center"/>
      <protection/>
    </xf>
    <xf numFmtId="176" fontId="10" fillId="0" borderId="107" xfId="60" applyNumberFormat="1" applyFont="1" applyFill="1" applyBorder="1" applyAlignment="1">
      <alignment horizontal="right" vertical="center"/>
      <protection/>
    </xf>
    <xf numFmtId="176" fontId="10" fillId="0" borderId="108" xfId="60" applyNumberFormat="1" applyFont="1" applyFill="1" applyBorder="1" applyAlignment="1">
      <alignment horizontal="right" vertical="center"/>
      <protection/>
    </xf>
    <xf numFmtId="176" fontId="10" fillId="0" borderId="35" xfId="60" applyNumberFormat="1" applyFont="1" applyFill="1" applyBorder="1" applyAlignment="1">
      <alignment horizontal="right" vertical="center"/>
      <protection/>
    </xf>
    <xf numFmtId="176" fontId="3" fillId="0" borderId="35" xfId="60" applyNumberFormat="1" applyFont="1" applyFill="1" applyBorder="1" applyAlignment="1">
      <alignment horizontal="right" vertical="center"/>
      <protection/>
    </xf>
    <xf numFmtId="176" fontId="3" fillId="0" borderId="109" xfId="60" applyNumberFormat="1" applyFont="1" applyFill="1" applyBorder="1" applyAlignment="1">
      <alignment horizontal="right" vertical="center"/>
      <protection/>
    </xf>
    <xf numFmtId="176" fontId="3" fillId="0" borderId="110" xfId="60" applyNumberFormat="1" applyFont="1" applyFill="1" applyBorder="1" applyAlignment="1">
      <alignment horizontal="right" vertical="center"/>
      <protection/>
    </xf>
    <xf numFmtId="176" fontId="3" fillId="34" borderId="111" xfId="60" applyNumberFormat="1" applyFont="1" applyFill="1" applyBorder="1" applyAlignment="1">
      <alignment horizontal="right" vertical="center"/>
      <protection/>
    </xf>
    <xf numFmtId="176" fontId="3" fillId="35" borderId="112" xfId="60" applyNumberFormat="1" applyFont="1" applyFill="1" applyBorder="1" applyAlignment="1">
      <alignment horizontal="right" vertical="center"/>
      <protection/>
    </xf>
    <xf numFmtId="176" fontId="3" fillId="35" borderId="113" xfId="60" applyNumberFormat="1" applyFont="1" applyFill="1" applyBorder="1" applyAlignment="1">
      <alignment horizontal="right" vertical="center"/>
      <protection/>
    </xf>
    <xf numFmtId="176" fontId="3" fillId="34" borderId="114" xfId="60" applyNumberFormat="1" applyFont="1" applyFill="1" applyBorder="1" applyAlignment="1">
      <alignment horizontal="right" vertical="center"/>
      <protection/>
    </xf>
    <xf numFmtId="176" fontId="3" fillId="34" borderId="113" xfId="60" applyNumberFormat="1" applyFont="1" applyFill="1" applyBorder="1" applyAlignment="1">
      <alignment horizontal="right" vertical="center"/>
      <protection/>
    </xf>
    <xf numFmtId="176" fontId="10" fillId="0" borderId="115" xfId="60" applyNumberFormat="1" applyFont="1" applyFill="1" applyBorder="1" applyAlignment="1">
      <alignment horizontal="right" vertical="center"/>
      <protection/>
    </xf>
    <xf numFmtId="176" fontId="10" fillId="0" borderId="116" xfId="60" applyNumberFormat="1" applyFont="1" applyFill="1" applyBorder="1" applyAlignment="1">
      <alignment horizontal="right" vertical="center"/>
      <protection/>
    </xf>
    <xf numFmtId="176" fontId="10" fillId="0" borderId="117"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3" fillId="0" borderId="119" xfId="60" applyNumberFormat="1" applyFont="1" applyFill="1" applyBorder="1" applyAlignment="1">
      <alignment horizontal="right" vertical="center"/>
      <protection/>
    </xf>
    <xf numFmtId="176" fontId="3" fillId="0" borderId="120" xfId="60" applyNumberFormat="1" applyFont="1" applyFill="1" applyBorder="1" applyAlignment="1">
      <alignment horizontal="right" vertical="center"/>
      <protection/>
    </xf>
    <xf numFmtId="176" fontId="3" fillId="0" borderId="121" xfId="60" applyNumberFormat="1" applyFont="1" applyFill="1" applyBorder="1" applyAlignment="1">
      <alignment horizontal="right" vertical="center"/>
      <protection/>
    </xf>
    <xf numFmtId="176" fontId="3" fillId="0" borderId="122" xfId="60" applyNumberFormat="1" applyFont="1" applyFill="1" applyBorder="1" applyAlignment="1">
      <alignment horizontal="right" vertical="center"/>
      <protection/>
    </xf>
    <xf numFmtId="176" fontId="3" fillId="0" borderId="123" xfId="60" applyNumberFormat="1" applyFont="1" applyFill="1" applyBorder="1" applyAlignment="1">
      <alignment horizontal="right" vertical="center"/>
      <protection/>
    </xf>
    <xf numFmtId="176" fontId="3" fillId="0" borderId="124" xfId="60" applyNumberFormat="1" applyFont="1" applyFill="1" applyBorder="1" applyAlignment="1">
      <alignment horizontal="right" vertical="center"/>
      <protection/>
    </xf>
    <xf numFmtId="176" fontId="3" fillId="0" borderId="125" xfId="60" applyNumberFormat="1" applyFont="1" applyFill="1" applyBorder="1" applyAlignment="1">
      <alignment horizontal="right" vertical="center"/>
      <protection/>
    </xf>
    <xf numFmtId="176" fontId="8" fillId="34" borderId="126" xfId="60" applyNumberFormat="1" applyFont="1" applyFill="1" applyBorder="1" applyAlignment="1">
      <alignment horizontal="right" vertical="center"/>
      <protection/>
    </xf>
    <xf numFmtId="176" fontId="8" fillId="34" borderId="127" xfId="60" applyNumberFormat="1" applyFont="1" applyFill="1" applyBorder="1" applyAlignment="1">
      <alignment horizontal="right" vertical="center"/>
      <protection/>
    </xf>
    <xf numFmtId="176" fontId="8" fillId="34" borderId="128" xfId="60" applyNumberFormat="1" applyFont="1" applyFill="1" applyBorder="1" applyAlignment="1">
      <alignment horizontal="right"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36" xfId="60" applyFont="1" applyBorder="1" applyAlignment="1">
      <alignment horizontal="distributed" vertical="center" wrapText="1"/>
      <protection/>
    </xf>
    <xf numFmtId="0" fontId="3" fillId="0" borderId="136" xfId="60" applyFont="1" applyBorder="1" applyAlignment="1">
      <alignment horizontal="distributed" vertical="center"/>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protection/>
    </xf>
    <xf numFmtId="0" fontId="8" fillId="0" borderId="140" xfId="60" applyFont="1" applyBorder="1" applyAlignment="1">
      <alignment horizontal="distributed" vertical="center"/>
      <protection/>
    </xf>
    <xf numFmtId="0" fontId="8" fillId="0" borderId="141"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2" xfId="60" applyFont="1" applyBorder="1" applyAlignment="1">
      <alignment horizontal="distributed" vertical="center"/>
      <protection/>
    </xf>
    <xf numFmtId="0" fontId="3" fillId="0" borderId="0" xfId="60" applyFont="1" applyAlignment="1">
      <alignment horizontal="justify" vertical="top" wrapText="1"/>
      <protection/>
    </xf>
    <xf numFmtId="0" fontId="3" fillId="0" borderId="138"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37" xfId="60" applyFont="1" applyBorder="1" applyAlignment="1">
      <alignment horizontal="center" vertical="center"/>
      <protection/>
    </xf>
    <xf numFmtId="0" fontId="3" fillId="0" borderId="146" xfId="60" applyFont="1" applyBorder="1" applyAlignment="1">
      <alignment horizontal="left" vertical="center"/>
      <protection/>
    </xf>
    <xf numFmtId="0" fontId="3" fillId="0" borderId="0" xfId="60" applyFont="1" applyAlignment="1">
      <alignment horizontal="left" vertical="center"/>
      <protection/>
    </xf>
    <xf numFmtId="0" fontId="3" fillId="0" borderId="53" xfId="60" applyFont="1" applyBorder="1" applyAlignment="1">
      <alignment horizontal="distributed" vertical="center" wrapText="1"/>
      <protection/>
    </xf>
    <xf numFmtId="0" fontId="3" fillId="0" borderId="62" xfId="60" applyFont="1" applyBorder="1" applyAlignment="1">
      <alignment horizontal="distributed" vertical="center" wrapText="1"/>
      <protection/>
    </xf>
    <xf numFmtId="0" fontId="3" fillId="0" borderId="150" xfId="60" applyFont="1" applyBorder="1" applyAlignment="1">
      <alignment horizontal="distributed" vertical="center" wrapText="1"/>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53" xfId="60" applyFont="1" applyBorder="1" applyAlignment="1">
      <alignment horizontal="center" vertical="center"/>
      <protection/>
    </xf>
    <xf numFmtId="0" fontId="3" fillId="0" borderId="154" xfId="60" applyFont="1" applyBorder="1" applyAlignment="1">
      <alignment horizontal="center" vertical="center" wrapText="1"/>
      <protection/>
    </xf>
    <xf numFmtId="0" fontId="3" fillId="0" borderId="155" xfId="60" applyFont="1" applyBorder="1" applyAlignment="1">
      <alignment horizontal="center" vertical="center"/>
      <protection/>
    </xf>
    <xf numFmtId="0" fontId="3" fillId="0" borderId="156" xfId="60" applyFont="1" applyBorder="1" applyAlignment="1">
      <alignment horizontal="center" vertical="center"/>
      <protection/>
    </xf>
    <xf numFmtId="0" fontId="3" fillId="0" borderId="154" xfId="60" applyFont="1" applyBorder="1" applyAlignment="1">
      <alignment horizontal="center" vertical="center"/>
      <protection/>
    </xf>
    <xf numFmtId="0" fontId="3" fillId="0" borderId="129" xfId="60" applyFont="1" applyBorder="1" applyAlignment="1">
      <alignment horizontal="distributed" vertical="center"/>
      <protection/>
    </xf>
    <xf numFmtId="0" fontId="3" fillId="0" borderId="61" xfId="60" applyFont="1" applyBorder="1" applyAlignment="1">
      <alignment horizontal="distributed" vertical="center"/>
      <protection/>
    </xf>
    <xf numFmtId="0" fontId="3" fillId="0" borderId="157" xfId="60" applyFont="1" applyBorder="1" applyAlignment="1">
      <alignment horizontal="distributed" vertical="center"/>
      <protection/>
    </xf>
    <xf numFmtId="0" fontId="3" fillId="0" borderId="158" xfId="60" applyFont="1" applyBorder="1" applyAlignment="1">
      <alignment horizontal="center" vertical="center"/>
      <protection/>
    </xf>
    <xf numFmtId="0" fontId="3" fillId="0" borderId="159" xfId="60" applyFont="1" applyBorder="1" applyAlignment="1">
      <alignment horizontal="left"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wrapText="1"/>
      <protection/>
    </xf>
    <xf numFmtId="0" fontId="3" fillId="0" borderId="32" xfId="60" applyFont="1" applyBorder="1" applyAlignment="1">
      <alignment horizontal="center" vertical="center"/>
      <protection/>
    </xf>
    <xf numFmtId="0" fontId="3" fillId="0" borderId="158" xfId="60" applyFont="1" applyBorder="1" applyAlignment="1">
      <alignment horizontal="center" vertical="center" wrapText="1"/>
      <protection/>
    </xf>
    <xf numFmtId="0" fontId="3" fillId="0" borderId="166" xfId="60" applyFont="1" applyBorder="1" applyAlignment="1">
      <alignment horizontal="center" vertical="center"/>
      <protection/>
    </xf>
    <xf numFmtId="0" fontId="3" fillId="0" borderId="167" xfId="60" applyFont="1" applyBorder="1" applyAlignment="1">
      <alignment horizontal="center" vertical="center"/>
      <protection/>
    </xf>
    <xf numFmtId="0" fontId="3" fillId="0" borderId="0" xfId="60" applyFont="1" applyBorder="1" applyAlignment="1">
      <alignment horizontal="right" vertical="top" wrapText="1"/>
      <protection/>
    </xf>
    <xf numFmtId="0" fontId="3" fillId="0" borderId="0" xfId="60" applyFont="1" applyBorder="1" applyAlignment="1">
      <alignment horizontal="justify" vertical="top" wrapText="1"/>
      <protection/>
    </xf>
    <xf numFmtId="0" fontId="3" fillId="0" borderId="146" xfId="60" applyFont="1" applyFill="1" applyBorder="1" applyAlignment="1">
      <alignment horizontal="distributed" vertical="center"/>
      <protection/>
    </xf>
    <xf numFmtId="0" fontId="3" fillId="0" borderId="146" xfId="60" applyFont="1" applyFill="1" applyBorder="1" applyAlignment="1">
      <alignment horizontal="right" vertical="center"/>
      <protection/>
    </xf>
    <xf numFmtId="3" fontId="3" fillId="0" borderId="146" xfId="60" applyNumberFormat="1" applyFont="1" applyFill="1" applyBorder="1" applyAlignment="1">
      <alignment horizontal="right" vertical="center"/>
      <protection/>
    </xf>
    <xf numFmtId="0" fontId="3" fillId="0" borderId="146" xfId="60" applyFont="1" applyBorder="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0">
      <selection activeCell="K22" sqref="K22"/>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86" t="s">
        <v>154</v>
      </c>
      <c r="B1" s="186"/>
      <c r="C1" s="186"/>
      <c r="D1" s="186"/>
      <c r="E1" s="186"/>
      <c r="F1" s="186"/>
      <c r="G1" s="186"/>
      <c r="H1" s="186"/>
      <c r="I1" s="186"/>
      <c r="J1" s="186"/>
      <c r="K1" s="186"/>
    </row>
    <row r="2" spans="1:11" ht="15">
      <c r="A2" s="40"/>
      <c r="B2" s="40"/>
      <c r="C2" s="40"/>
      <c r="D2" s="40"/>
      <c r="E2" s="40"/>
      <c r="F2" s="40"/>
      <c r="G2" s="40"/>
      <c r="H2" s="40"/>
      <c r="I2" s="40"/>
      <c r="J2" s="40"/>
      <c r="K2" s="40"/>
    </row>
    <row r="3" spans="1:11" ht="12" thickBot="1">
      <c r="A3" s="187" t="s">
        <v>180</v>
      </c>
      <c r="B3" s="187"/>
      <c r="C3" s="187"/>
      <c r="D3" s="187"/>
      <c r="E3" s="187"/>
      <c r="F3" s="187"/>
      <c r="G3" s="187"/>
      <c r="H3" s="187"/>
      <c r="I3" s="187"/>
      <c r="J3" s="187"/>
      <c r="K3" s="187"/>
    </row>
    <row r="4" spans="1:11" ht="24" customHeight="1">
      <c r="A4" s="188" t="s">
        <v>155</v>
      </c>
      <c r="B4" s="189"/>
      <c r="C4" s="192" t="s">
        <v>181</v>
      </c>
      <c r="D4" s="193"/>
      <c r="E4" s="194"/>
      <c r="F4" s="192" t="s">
        <v>182</v>
      </c>
      <c r="G4" s="193"/>
      <c r="H4" s="194"/>
      <c r="I4" s="192" t="s">
        <v>183</v>
      </c>
      <c r="J4" s="193"/>
      <c r="K4" s="195"/>
    </row>
    <row r="5" spans="1:11" ht="24" customHeight="1">
      <c r="A5" s="190"/>
      <c r="B5" s="191"/>
      <c r="C5" s="196" t="s">
        <v>156</v>
      </c>
      <c r="D5" s="197"/>
      <c r="E5" s="41" t="s">
        <v>157</v>
      </c>
      <c r="F5" s="196" t="s">
        <v>156</v>
      </c>
      <c r="G5" s="197"/>
      <c r="H5" s="41" t="s">
        <v>157</v>
      </c>
      <c r="I5" s="196" t="s">
        <v>156</v>
      </c>
      <c r="J5" s="197"/>
      <c r="K5" s="42" t="s">
        <v>157</v>
      </c>
    </row>
    <row r="6" spans="1:11" ht="12" customHeight="1">
      <c r="A6" s="43"/>
      <c r="B6" s="44"/>
      <c r="C6" s="45"/>
      <c r="D6" s="31" t="s">
        <v>158</v>
      </c>
      <c r="E6" s="7" t="s">
        <v>159</v>
      </c>
      <c r="F6" s="45"/>
      <c r="G6" s="31" t="s">
        <v>158</v>
      </c>
      <c r="H6" s="7" t="s">
        <v>159</v>
      </c>
      <c r="I6" s="45"/>
      <c r="J6" s="31" t="s">
        <v>158</v>
      </c>
      <c r="K6" s="46" t="s">
        <v>159</v>
      </c>
    </row>
    <row r="7" spans="1:11" ht="30" customHeight="1">
      <c r="A7" s="198" t="s">
        <v>184</v>
      </c>
      <c r="B7" s="47" t="s">
        <v>185</v>
      </c>
      <c r="C7" s="48"/>
      <c r="D7" s="106">
        <v>27695</v>
      </c>
      <c r="E7" s="49">
        <v>10366675</v>
      </c>
      <c r="F7" s="50"/>
      <c r="G7" s="106">
        <v>73350</v>
      </c>
      <c r="H7" s="49">
        <v>340081217</v>
      </c>
      <c r="I7" s="50"/>
      <c r="J7" s="106">
        <v>101045</v>
      </c>
      <c r="K7" s="51">
        <v>350447892</v>
      </c>
    </row>
    <row r="8" spans="1:11" ht="30" customHeight="1">
      <c r="A8" s="199"/>
      <c r="B8" s="52" t="s">
        <v>186</v>
      </c>
      <c r="C8" s="48"/>
      <c r="D8" s="107">
        <v>48343</v>
      </c>
      <c r="E8" s="108">
        <v>12185109</v>
      </c>
      <c r="F8" s="50"/>
      <c r="G8" s="107">
        <v>33650</v>
      </c>
      <c r="H8" s="108">
        <v>13854685</v>
      </c>
      <c r="I8" s="50"/>
      <c r="J8" s="107">
        <v>81993</v>
      </c>
      <c r="K8" s="109">
        <v>26039794</v>
      </c>
    </row>
    <row r="9" spans="1:11" s="55" customFormat="1" ht="30" customHeight="1">
      <c r="A9" s="199"/>
      <c r="B9" s="53" t="s">
        <v>187</v>
      </c>
      <c r="C9" s="54"/>
      <c r="D9" s="110">
        <v>76038</v>
      </c>
      <c r="E9" s="111">
        <v>22551783</v>
      </c>
      <c r="F9" s="54"/>
      <c r="G9" s="110">
        <v>107000</v>
      </c>
      <c r="H9" s="111">
        <v>353935902</v>
      </c>
      <c r="I9" s="54"/>
      <c r="J9" s="110">
        <v>183038</v>
      </c>
      <c r="K9" s="112">
        <v>376487686</v>
      </c>
    </row>
    <row r="10" spans="1:11" ht="30" customHeight="1">
      <c r="A10" s="200"/>
      <c r="B10" s="56" t="s">
        <v>188</v>
      </c>
      <c r="C10" s="48"/>
      <c r="D10" s="113">
        <v>2459</v>
      </c>
      <c r="E10" s="114">
        <v>876644</v>
      </c>
      <c r="F10" s="48"/>
      <c r="G10" s="113">
        <v>4551</v>
      </c>
      <c r="H10" s="114">
        <v>24879163</v>
      </c>
      <c r="I10" s="48"/>
      <c r="J10" s="113">
        <v>7010</v>
      </c>
      <c r="K10" s="115">
        <v>25755807</v>
      </c>
    </row>
    <row r="11" spans="1:11" ht="30" customHeight="1">
      <c r="A11" s="201" t="s">
        <v>189</v>
      </c>
      <c r="B11" s="57" t="s">
        <v>190</v>
      </c>
      <c r="C11" s="58"/>
      <c r="D11" s="116">
        <v>4326</v>
      </c>
      <c r="E11" s="59">
        <v>746972</v>
      </c>
      <c r="F11" s="60"/>
      <c r="G11" s="117">
        <v>4275</v>
      </c>
      <c r="H11" s="59">
        <v>1588081</v>
      </c>
      <c r="I11" s="60"/>
      <c r="J11" s="117">
        <v>8601</v>
      </c>
      <c r="K11" s="61">
        <v>2335053</v>
      </c>
    </row>
    <row r="12" spans="1:11" ht="30" customHeight="1">
      <c r="A12" s="202"/>
      <c r="B12" s="62" t="s">
        <v>191</v>
      </c>
      <c r="C12" s="63"/>
      <c r="D12" s="107">
        <v>1008</v>
      </c>
      <c r="E12" s="108">
        <v>162022</v>
      </c>
      <c r="F12" s="64"/>
      <c r="G12" s="118">
        <v>936</v>
      </c>
      <c r="H12" s="108">
        <v>648050</v>
      </c>
      <c r="I12" s="64"/>
      <c r="J12" s="118">
        <v>1944</v>
      </c>
      <c r="K12" s="109">
        <v>810073</v>
      </c>
    </row>
    <row r="13" spans="1:11" s="55" customFormat="1" ht="30" customHeight="1">
      <c r="A13" s="203" t="s">
        <v>160</v>
      </c>
      <c r="B13" s="204"/>
      <c r="C13" s="65" t="s">
        <v>161</v>
      </c>
      <c r="D13" s="119">
        <v>80610</v>
      </c>
      <c r="E13" s="120">
        <v>22260088</v>
      </c>
      <c r="F13" s="65" t="s">
        <v>161</v>
      </c>
      <c r="G13" s="119">
        <v>112670</v>
      </c>
      <c r="H13" s="120">
        <v>329996770</v>
      </c>
      <c r="I13" s="65" t="s">
        <v>161</v>
      </c>
      <c r="J13" s="119">
        <v>193280</v>
      </c>
      <c r="K13" s="121">
        <v>352256858</v>
      </c>
    </row>
    <row r="14" spans="1:11" ht="30" customHeight="1" thickBot="1">
      <c r="A14" s="205" t="s">
        <v>162</v>
      </c>
      <c r="B14" s="206"/>
      <c r="C14" s="66"/>
      <c r="D14" s="122">
        <v>3647</v>
      </c>
      <c r="E14" s="123">
        <v>117081</v>
      </c>
      <c r="F14" s="67"/>
      <c r="G14" s="122">
        <v>3645</v>
      </c>
      <c r="H14" s="123">
        <v>221654</v>
      </c>
      <c r="I14" s="67"/>
      <c r="J14" s="122">
        <v>7292</v>
      </c>
      <c r="K14" s="124">
        <v>338735</v>
      </c>
    </row>
    <row r="15" spans="1:11" ht="2.25" customHeight="1">
      <c r="A15" s="246"/>
      <c r="B15" s="246"/>
      <c r="C15" s="247"/>
      <c r="D15" s="248"/>
      <c r="E15" s="248"/>
      <c r="F15" s="248"/>
      <c r="G15" s="248"/>
      <c r="H15" s="248"/>
      <c r="I15" s="248"/>
      <c r="J15" s="248"/>
      <c r="K15" s="248"/>
    </row>
    <row r="16" spans="1:11" s="1" customFormat="1" ht="37.5" customHeight="1">
      <c r="A16" s="244" t="s">
        <v>176</v>
      </c>
      <c r="B16" s="245" t="s">
        <v>173</v>
      </c>
      <c r="C16" s="245"/>
      <c r="D16" s="245"/>
      <c r="E16" s="245"/>
      <c r="F16" s="245"/>
      <c r="G16" s="245"/>
      <c r="H16" s="245"/>
      <c r="I16" s="245"/>
      <c r="J16" s="245"/>
      <c r="K16" s="245"/>
    </row>
    <row r="17" spans="2:11" ht="45" customHeight="1">
      <c r="B17" s="207" t="s">
        <v>177</v>
      </c>
      <c r="C17" s="207"/>
      <c r="D17" s="207"/>
      <c r="E17" s="207"/>
      <c r="F17" s="207"/>
      <c r="G17" s="207"/>
      <c r="H17" s="207"/>
      <c r="I17" s="207"/>
      <c r="J17" s="207"/>
      <c r="K17" s="207"/>
    </row>
    <row r="18" ht="14.25" customHeight="1">
      <c r="A18" s="2" t="s">
        <v>178</v>
      </c>
    </row>
    <row r="19" ht="11.25">
      <c r="A19" s="68" t="s">
        <v>179</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3">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163</v>
      </c>
    </row>
    <row r="2" spans="1:8" s="2" customFormat="1" ht="15" customHeight="1">
      <c r="A2" s="188" t="s">
        <v>155</v>
      </c>
      <c r="B2" s="189"/>
      <c r="C2" s="211" t="s">
        <v>181</v>
      </c>
      <c r="D2" s="211"/>
      <c r="E2" s="211" t="s">
        <v>192</v>
      </c>
      <c r="F2" s="211"/>
      <c r="G2" s="212" t="s">
        <v>193</v>
      </c>
      <c r="H2" s="213"/>
    </row>
    <row r="3" spans="1:8" s="2" customFormat="1" ht="15" customHeight="1">
      <c r="A3" s="190"/>
      <c r="B3" s="191"/>
      <c r="C3" s="58" t="s">
        <v>194</v>
      </c>
      <c r="D3" s="41" t="s">
        <v>195</v>
      </c>
      <c r="E3" s="58" t="s">
        <v>194</v>
      </c>
      <c r="F3" s="69" t="s">
        <v>195</v>
      </c>
      <c r="G3" s="58" t="s">
        <v>194</v>
      </c>
      <c r="H3" s="70" t="s">
        <v>195</v>
      </c>
    </row>
    <row r="4" spans="1:8" s="75" customFormat="1" ht="15" customHeight="1">
      <c r="A4" s="71"/>
      <c r="B4" s="41"/>
      <c r="C4" s="72" t="s">
        <v>16</v>
      </c>
      <c r="D4" s="73" t="s">
        <v>17</v>
      </c>
      <c r="E4" s="72" t="s">
        <v>16</v>
      </c>
      <c r="F4" s="73" t="s">
        <v>17</v>
      </c>
      <c r="G4" s="72" t="s">
        <v>16</v>
      </c>
      <c r="H4" s="74" t="s">
        <v>17</v>
      </c>
    </row>
    <row r="5" spans="1:8" s="77" customFormat="1" ht="30" customHeight="1">
      <c r="A5" s="214" t="s">
        <v>196</v>
      </c>
      <c r="B5" s="47" t="s">
        <v>164</v>
      </c>
      <c r="C5" s="76">
        <v>94745</v>
      </c>
      <c r="D5" s="49">
        <v>24390339</v>
      </c>
      <c r="E5" s="76">
        <v>114676</v>
      </c>
      <c r="F5" s="49">
        <v>350310802</v>
      </c>
      <c r="G5" s="76">
        <v>209421</v>
      </c>
      <c r="H5" s="51">
        <v>374701141</v>
      </c>
    </row>
    <row r="6" spans="1:8" s="77" customFormat="1" ht="30" customHeight="1">
      <c r="A6" s="209"/>
      <c r="B6" s="56" t="s">
        <v>4</v>
      </c>
      <c r="C6" s="78">
        <v>2204</v>
      </c>
      <c r="D6" s="79">
        <v>1217147</v>
      </c>
      <c r="E6" s="78">
        <v>3747</v>
      </c>
      <c r="F6" s="79">
        <v>17169481</v>
      </c>
      <c r="G6" s="78">
        <v>5951</v>
      </c>
      <c r="H6" s="80">
        <v>18386628</v>
      </c>
    </row>
    <row r="7" spans="1:8" s="77" customFormat="1" ht="30" customHeight="1">
      <c r="A7" s="215" t="s">
        <v>197</v>
      </c>
      <c r="B7" s="81" t="s">
        <v>164</v>
      </c>
      <c r="C7" s="82">
        <v>83419</v>
      </c>
      <c r="D7" s="59">
        <v>21783119</v>
      </c>
      <c r="E7" s="82">
        <v>106021</v>
      </c>
      <c r="F7" s="59">
        <v>312042106</v>
      </c>
      <c r="G7" s="82">
        <v>189440</v>
      </c>
      <c r="H7" s="61">
        <v>333825225</v>
      </c>
    </row>
    <row r="8" spans="1:8" s="77" customFormat="1" ht="30" customHeight="1">
      <c r="A8" s="216"/>
      <c r="B8" s="56" t="s">
        <v>4</v>
      </c>
      <c r="C8" s="78">
        <v>1766</v>
      </c>
      <c r="D8" s="79">
        <v>645773</v>
      </c>
      <c r="E8" s="78">
        <v>3298</v>
      </c>
      <c r="F8" s="79">
        <v>14743189</v>
      </c>
      <c r="G8" s="78">
        <v>5064</v>
      </c>
      <c r="H8" s="80">
        <v>15388962</v>
      </c>
    </row>
    <row r="9" spans="1:8" s="77" customFormat="1" ht="30" customHeight="1">
      <c r="A9" s="208" t="s">
        <v>165</v>
      </c>
      <c r="B9" s="81" t="s">
        <v>164</v>
      </c>
      <c r="C9" s="82">
        <v>79532</v>
      </c>
      <c r="D9" s="59">
        <v>21236019</v>
      </c>
      <c r="E9" s="82">
        <v>108145</v>
      </c>
      <c r="F9" s="59">
        <v>327904963</v>
      </c>
      <c r="G9" s="82">
        <v>187677</v>
      </c>
      <c r="H9" s="61">
        <v>349140982</v>
      </c>
    </row>
    <row r="10" spans="1:8" s="77" customFormat="1" ht="30" customHeight="1">
      <c r="A10" s="209"/>
      <c r="B10" s="56" t="s">
        <v>4</v>
      </c>
      <c r="C10" s="78">
        <v>2849</v>
      </c>
      <c r="D10" s="79">
        <v>987283</v>
      </c>
      <c r="E10" s="78">
        <v>4093</v>
      </c>
      <c r="F10" s="79">
        <v>19629040</v>
      </c>
      <c r="G10" s="78">
        <v>6942</v>
      </c>
      <c r="H10" s="80">
        <v>20616323</v>
      </c>
    </row>
    <row r="11" spans="1:8" s="77" customFormat="1" ht="30" customHeight="1">
      <c r="A11" s="208" t="s">
        <v>172</v>
      </c>
      <c r="B11" s="81" t="s">
        <v>164</v>
      </c>
      <c r="C11" s="82">
        <v>75997</v>
      </c>
      <c r="D11" s="59">
        <v>22203812</v>
      </c>
      <c r="E11" s="82">
        <v>106765</v>
      </c>
      <c r="F11" s="59">
        <v>338647001</v>
      </c>
      <c r="G11" s="82">
        <v>182762</v>
      </c>
      <c r="H11" s="61">
        <v>360850813</v>
      </c>
    </row>
    <row r="12" spans="1:8" s="77" customFormat="1" ht="30" customHeight="1">
      <c r="A12" s="209"/>
      <c r="B12" s="56" t="s">
        <v>4</v>
      </c>
      <c r="C12" s="78">
        <v>2661</v>
      </c>
      <c r="D12" s="79">
        <v>946015</v>
      </c>
      <c r="E12" s="78">
        <v>4467</v>
      </c>
      <c r="F12" s="79">
        <v>24024924</v>
      </c>
      <c r="G12" s="78">
        <v>7128</v>
      </c>
      <c r="H12" s="80">
        <v>24970939</v>
      </c>
    </row>
    <row r="13" spans="1:8" s="2" customFormat="1" ht="30" customHeight="1">
      <c r="A13" s="208" t="s">
        <v>174</v>
      </c>
      <c r="B13" s="81" t="s">
        <v>164</v>
      </c>
      <c r="C13" s="82">
        <v>76038</v>
      </c>
      <c r="D13" s="59">
        <v>22551783</v>
      </c>
      <c r="E13" s="82">
        <v>107000</v>
      </c>
      <c r="F13" s="59">
        <v>353935902</v>
      </c>
      <c r="G13" s="82">
        <v>183038</v>
      </c>
      <c r="H13" s="61">
        <v>376487686</v>
      </c>
    </row>
    <row r="14" spans="1:8" s="2" customFormat="1" ht="30" customHeight="1" thickBot="1">
      <c r="A14" s="210"/>
      <c r="B14" s="83" t="s">
        <v>4</v>
      </c>
      <c r="C14" s="125">
        <v>2459</v>
      </c>
      <c r="D14" s="126">
        <v>876644</v>
      </c>
      <c r="E14" s="125">
        <v>4551</v>
      </c>
      <c r="F14" s="126">
        <v>24879163</v>
      </c>
      <c r="G14" s="125">
        <v>7010</v>
      </c>
      <c r="H14" s="127">
        <v>25755807</v>
      </c>
    </row>
    <row r="15" spans="5:7" s="2" customFormat="1" ht="11.25">
      <c r="E15" s="84"/>
      <c r="G15" s="84"/>
    </row>
    <row r="16" spans="5:7" s="2" customFormat="1" ht="11.25">
      <c r="E16" s="84"/>
      <c r="G16" s="84"/>
    </row>
    <row r="17" spans="5:7" s="2" customFormat="1" ht="11.25">
      <c r="E17" s="84"/>
      <c r="G17" s="84"/>
    </row>
    <row r="18" spans="5:7" s="2" customFormat="1" ht="11.25">
      <c r="E18" s="84"/>
      <c r="G18" s="84"/>
    </row>
    <row r="19" spans="5:7" s="2" customFormat="1" ht="11.25">
      <c r="E19" s="84"/>
      <c r="G19" s="84"/>
    </row>
    <row r="20" spans="5:7" s="2" customFormat="1" ht="11.25">
      <c r="E20" s="84"/>
      <c r="G20" s="84"/>
    </row>
    <row r="21" spans="5:7" s="2" customFormat="1" ht="11.25">
      <c r="E21" s="84"/>
      <c r="G21" s="84"/>
    </row>
    <row r="22" spans="5:7" s="2" customFormat="1" ht="11.25">
      <c r="E22" s="84"/>
      <c r="G22" s="84"/>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166</v>
      </c>
    </row>
    <row r="2" spans="1:4" s="1" customFormat="1" ht="19.5" customHeight="1">
      <c r="A2" s="85" t="s">
        <v>167</v>
      </c>
      <c r="B2" s="86" t="s">
        <v>168</v>
      </c>
      <c r="C2" s="87" t="s">
        <v>169</v>
      </c>
      <c r="D2" s="88" t="s">
        <v>170</v>
      </c>
    </row>
    <row r="3" spans="1:4" s="75" customFormat="1" ht="15" customHeight="1">
      <c r="A3" s="89" t="s">
        <v>16</v>
      </c>
      <c r="B3" s="90" t="s">
        <v>16</v>
      </c>
      <c r="C3" s="91" t="s">
        <v>16</v>
      </c>
      <c r="D3" s="92" t="s">
        <v>16</v>
      </c>
    </row>
    <row r="4" spans="1:9" s="1" customFormat="1" ht="30" customHeight="1" thickBot="1">
      <c r="A4" s="128">
        <v>198026</v>
      </c>
      <c r="B4" s="129">
        <v>4169</v>
      </c>
      <c r="C4" s="130">
        <v>622</v>
      </c>
      <c r="D4" s="131">
        <v>202817</v>
      </c>
      <c r="E4" s="93"/>
      <c r="G4" s="93"/>
      <c r="I4" s="93"/>
    </row>
    <row r="5" spans="1:4" s="1" customFormat="1" ht="15" customHeight="1">
      <c r="A5" s="217" t="s">
        <v>175</v>
      </c>
      <c r="B5" s="217"/>
      <c r="C5" s="217"/>
      <c r="D5" s="217"/>
    </row>
    <row r="6" spans="1:4" s="1" customFormat="1" ht="15" customHeight="1">
      <c r="A6" s="218" t="s">
        <v>171</v>
      </c>
      <c r="B6" s="218"/>
      <c r="C6" s="218"/>
      <c r="D6" s="218"/>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(H25)</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zoomScalePageLayoutView="0" workbookViewId="0" topLeftCell="A61">
      <selection activeCell="F83" sqref="F83"/>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218" t="s">
        <v>1</v>
      </c>
      <c r="B2" s="218"/>
      <c r="C2" s="218"/>
      <c r="D2" s="218"/>
      <c r="E2" s="218"/>
      <c r="F2" s="218"/>
      <c r="G2" s="218"/>
      <c r="H2" s="2"/>
      <c r="I2" s="2"/>
      <c r="J2" s="2"/>
      <c r="K2" s="2"/>
      <c r="L2" s="2"/>
      <c r="M2" s="2"/>
      <c r="N2" s="2"/>
    </row>
    <row r="3" spans="1:14" ht="19.5" customHeight="1">
      <c r="A3" s="229" t="s">
        <v>2</v>
      </c>
      <c r="B3" s="232" t="s">
        <v>3</v>
      </c>
      <c r="C3" s="232"/>
      <c r="D3" s="232"/>
      <c r="E3" s="232"/>
      <c r="F3" s="232"/>
      <c r="G3" s="232"/>
      <c r="H3" s="228" t="s">
        <v>4</v>
      </c>
      <c r="I3" s="226"/>
      <c r="J3" s="225" t="s">
        <v>5</v>
      </c>
      <c r="K3" s="226"/>
      <c r="L3" s="228" t="s">
        <v>6</v>
      </c>
      <c r="M3" s="226"/>
      <c r="N3" s="219" t="s">
        <v>7</v>
      </c>
    </row>
    <row r="4" spans="1:14" ht="17.25" customHeight="1">
      <c r="A4" s="230"/>
      <c r="B4" s="222" t="s">
        <v>8</v>
      </c>
      <c r="C4" s="222"/>
      <c r="D4" s="223" t="s">
        <v>9</v>
      </c>
      <c r="E4" s="224"/>
      <c r="F4" s="223" t="s">
        <v>10</v>
      </c>
      <c r="G4" s="224"/>
      <c r="H4" s="223"/>
      <c r="I4" s="227"/>
      <c r="J4" s="223"/>
      <c r="K4" s="227"/>
      <c r="L4" s="223"/>
      <c r="M4" s="227"/>
      <c r="N4" s="220"/>
    </row>
    <row r="5" spans="1:14" s="4" customFormat="1" ht="28.5" customHeight="1">
      <c r="A5" s="231"/>
      <c r="B5" s="34" t="s">
        <v>11</v>
      </c>
      <c r="C5" s="35" t="s">
        <v>12</v>
      </c>
      <c r="D5" s="34" t="s">
        <v>11</v>
      </c>
      <c r="E5" s="35" t="s">
        <v>12</v>
      </c>
      <c r="F5" s="34" t="s">
        <v>11</v>
      </c>
      <c r="G5" s="39" t="s">
        <v>13</v>
      </c>
      <c r="H5" s="34" t="s">
        <v>93</v>
      </c>
      <c r="I5" s="38" t="s">
        <v>14</v>
      </c>
      <c r="J5" s="34" t="s">
        <v>93</v>
      </c>
      <c r="K5" s="38" t="s">
        <v>15</v>
      </c>
      <c r="L5" s="34" t="s">
        <v>93</v>
      </c>
      <c r="M5" s="36" t="s">
        <v>94</v>
      </c>
      <c r="N5" s="221"/>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32">
        <f>_xlfn.COMPOUNDVALUE(1)</f>
        <v>1006</v>
      </c>
      <c r="C7" s="133">
        <v>384690</v>
      </c>
      <c r="D7" s="132">
        <f>_xlfn.COMPOUNDVALUE(2)</f>
        <v>1506</v>
      </c>
      <c r="E7" s="133">
        <v>370018</v>
      </c>
      <c r="F7" s="132">
        <f>_xlfn.COMPOUNDVALUE(3)</f>
        <v>2512</v>
      </c>
      <c r="G7" s="133">
        <v>754708</v>
      </c>
      <c r="H7" s="132">
        <f>_xlfn.COMPOUNDVALUE(4)</f>
        <v>49</v>
      </c>
      <c r="I7" s="134">
        <v>11624</v>
      </c>
      <c r="J7" s="132">
        <v>164</v>
      </c>
      <c r="K7" s="134">
        <v>20397</v>
      </c>
      <c r="L7" s="132">
        <f>_xlfn.COMPOUNDVALUE(4)</f>
        <v>2631</v>
      </c>
      <c r="M7" s="134">
        <v>763481</v>
      </c>
      <c r="N7" s="12" t="s">
        <v>98</v>
      </c>
    </row>
    <row r="8" spans="1:14" ht="15.75" customHeight="1">
      <c r="A8" s="13" t="s">
        <v>20</v>
      </c>
      <c r="B8" s="135">
        <f>_xlfn.COMPOUNDVALUE(5)</f>
        <v>675</v>
      </c>
      <c r="C8" s="136">
        <v>267472</v>
      </c>
      <c r="D8" s="135">
        <f>_xlfn.COMPOUNDVALUE(6)</f>
        <v>1045</v>
      </c>
      <c r="E8" s="136">
        <v>249302</v>
      </c>
      <c r="F8" s="135">
        <f>_xlfn.COMPOUNDVALUE(7)</f>
        <v>1720</v>
      </c>
      <c r="G8" s="136">
        <v>516774</v>
      </c>
      <c r="H8" s="135">
        <f>_xlfn.COMPOUNDVALUE(8)</f>
        <v>21</v>
      </c>
      <c r="I8" s="137">
        <v>5633</v>
      </c>
      <c r="J8" s="135">
        <v>78</v>
      </c>
      <c r="K8" s="137">
        <v>11268</v>
      </c>
      <c r="L8" s="135">
        <f>_xlfn.COMPOUNDVALUE(8)</f>
        <v>1767</v>
      </c>
      <c r="M8" s="137">
        <v>522409</v>
      </c>
      <c r="N8" s="14" t="s">
        <v>99</v>
      </c>
    </row>
    <row r="9" spans="1:14" ht="15.75" customHeight="1">
      <c r="A9" s="13" t="s">
        <v>21</v>
      </c>
      <c r="B9" s="135">
        <f>_xlfn.COMPOUNDVALUE(9)</f>
        <v>971</v>
      </c>
      <c r="C9" s="136">
        <v>371162</v>
      </c>
      <c r="D9" s="135">
        <f>_xlfn.COMPOUNDVALUE(10)</f>
        <v>1586</v>
      </c>
      <c r="E9" s="136">
        <v>379098</v>
      </c>
      <c r="F9" s="135">
        <f>_xlfn.COMPOUNDVALUE(11)</f>
        <v>2557</v>
      </c>
      <c r="G9" s="136">
        <v>750260</v>
      </c>
      <c r="H9" s="135">
        <f>_xlfn.COMPOUNDVALUE(12)</f>
        <v>54</v>
      </c>
      <c r="I9" s="137">
        <v>9273</v>
      </c>
      <c r="J9" s="135">
        <v>172</v>
      </c>
      <c r="K9" s="137">
        <v>15229</v>
      </c>
      <c r="L9" s="135">
        <f>_xlfn.COMPOUNDVALUE(12)</f>
        <v>2682</v>
      </c>
      <c r="M9" s="137">
        <v>756216</v>
      </c>
      <c r="N9" s="14" t="s">
        <v>100</v>
      </c>
    </row>
    <row r="10" spans="1:14" ht="15.75" customHeight="1">
      <c r="A10" s="13" t="s">
        <v>22</v>
      </c>
      <c r="B10" s="135">
        <f>_xlfn.COMPOUNDVALUE(13)</f>
        <v>323</v>
      </c>
      <c r="C10" s="136">
        <v>126815</v>
      </c>
      <c r="D10" s="135">
        <f>_xlfn.COMPOUNDVALUE(14)</f>
        <v>596</v>
      </c>
      <c r="E10" s="136">
        <v>139711</v>
      </c>
      <c r="F10" s="135">
        <f>_xlfn.COMPOUNDVALUE(15)</f>
        <v>919</v>
      </c>
      <c r="G10" s="136">
        <v>266526</v>
      </c>
      <c r="H10" s="135">
        <f>_xlfn.COMPOUNDVALUE(16)</f>
        <v>11</v>
      </c>
      <c r="I10" s="137">
        <v>2127</v>
      </c>
      <c r="J10" s="135">
        <v>48</v>
      </c>
      <c r="K10" s="137">
        <v>6105</v>
      </c>
      <c r="L10" s="135">
        <f>_xlfn.COMPOUNDVALUE(16)</f>
        <v>945</v>
      </c>
      <c r="M10" s="137">
        <v>270503</v>
      </c>
      <c r="N10" s="14" t="s">
        <v>101</v>
      </c>
    </row>
    <row r="11" spans="1:14" ht="15.75" customHeight="1">
      <c r="A11" s="13" t="s">
        <v>23</v>
      </c>
      <c r="B11" s="135">
        <f>_xlfn.COMPOUNDVALUE(17)</f>
        <v>601</v>
      </c>
      <c r="C11" s="136">
        <v>207118</v>
      </c>
      <c r="D11" s="135">
        <f>_xlfn.COMPOUNDVALUE(18)</f>
        <v>1224</v>
      </c>
      <c r="E11" s="136">
        <v>275822</v>
      </c>
      <c r="F11" s="135">
        <f>_xlfn.COMPOUNDVALUE(19)</f>
        <v>1825</v>
      </c>
      <c r="G11" s="136">
        <v>482940</v>
      </c>
      <c r="H11" s="135">
        <f>_xlfn.COMPOUNDVALUE(20)</f>
        <v>36</v>
      </c>
      <c r="I11" s="137">
        <v>9368</v>
      </c>
      <c r="J11" s="135">
        <v>107</v>
      </c>
      <c r="K11" s="137">
        <v>13002</v>
      </c>
      <c r="L11" s="135">
        <f>_xlfn.COMPOUNDVALUE(20)</f>
        <v>1884</v>
      </c>
      <c r="M11" s="137">
        <v>486574</v>
      </c>
      <c r="N11" s="14" t="s">
        <v>102</v>
      </c>
    </row>
    <row r="12" spans="1:14" ht="15.75" customHeight="1">
      <c r="A12" s="13" t="s">
        <v>24</v>
      </c>
      <c r="B12" s="135">
        <f>_xlfn.COMPOUNDVALUE(21)</f>
        <v>831</v>
      </c>
      <c r="C12" s="136">
        <v>311890</v>
      </c>
      <c r="D12" s="135">
        <f>_xlfn.COMPOUNDVALUE(22)</f>
        <v>1972</v>
      </c>
      <c r="E12" s="136">
        <v>479672</v>
      </c>
      <c r="F12" s="135">
        <f>_xlfn.COMPOUNDVALUE(23)</f>
        <v>2803</v>
      </c>
      <c r="G12" s="136">
        <v>791562</v>
      </c>
      <c r="H12" s="135">
        <f>_xlfn.COMPOUNDVALUE(24)</f>
        <v>100</v>
      </c>
      <c r="I12" s="137">
        <v>23657</v>
      </c>
      <c r="J12" s="135">
        <v>180</v>
      </c>
      <c r="K12" s="137">
        <v>36699</v>
      </c>
      <c r="L12" s="135">
        <f>_xlfn.COMPOUNDVALUE(24)</f>
        <v>2945</v>
      </c>
      <c r="M12" s="137">
        <v>804603</v>
      </c>
      <c r="N12" s="14" t="s">
        <v>103</v>
      </c>
    </row>
    <row r="13" spans="1:14" ht="15.75" customHeight="1">
      <c r="A13" s="13" t="s">
        <v>25</v>
      </c>
      <c r="B13" s="135">
        <f>_xlfn.COMPOUNDVALUE(25)</f>
        <v>316</v>
      </c>
      <c r="C13" s="136">
        <v>125170</v>
      </c>
      <c r="D13" s="135">
        <f>_xlfn.COMPOUNDVALUE(26)</f>
        <v>642</v>
      </c>
      <c r="E13" s="136">
        <v>151500</v>
      </c>
      <c r="F13" s="135">
        <f>_xlfn.COMPOUNDVALUE(27)</f>
        <v>958</v>
      </c>
      <c r="G13" s="136">
        <v>276670</v>
      </c>
      <c r="H13" s="135">
        <f>_xlfn.COMPOUNDVALUE(28)</f>
        <v>11</v>
      </c>
      <c r="I13" s="137">
        <v>2014</v>
      </c>
      <c r="J13" s="135">
        <v>34</v>
      </c>
      <c r="K13" s="137">
        <v>4550</v>
      </c>
      <c r="L13" s="135">
        <f>_xlfn.COMPOUNDVALUE(28)</f>
        <v>985</v>
      </c>
      <c r="M13" s="137">
        <v>279206</v>
      </c>
      <c r="N13" s="14" t="s">
        <v>25</v>
      </c>
    </row>
    <row r="14" spans="1:14" s="17" customFormat="1" ht="15.75" customHeight="1">
      <c r="A14" s="15" t="s">
        <v>26</v>
      </c>
      <c r="B14" s="138">
        <v>4723</v>
      </c>
      <c r="C14" s="139">
        <v>1794317</v>
      </c>
      <c r="D14" s="138">
        <v>8571</v>
      </c>
      <c r="E14" s="139">
        <v>2045122</v>
      </c>
      <c r="F14" s="138">
        <v>13294</v>
      </c>
      <c r="G14" s="139">
        <v>3839440</v>
      </c>
      <c r="H14" s="138">
        <v>282</v>
      </c>
      <c r="I14" s="140">
        <v>63697</v>
      </c>
      <c r="J14" s="138">
        <v>783</v>
      </c>
      <c r="K14" s="140">
        <v>107250</v>
      </c>
      <c r="L14" s="138">
        <v>13839</v>
      </c>
      <c r="M14" s="140">
        <v>3882992</v>
      </c>
      <c r="N14" s="16" t="s">
        <v>97</v>
      </c>
    </row>
    <row r="15" spans="1:14" s="20" customFormat="1" ht="15.75" customHeight="1">
      <c r="A15" s="23"/>
      <c r="B15" s="141"/>
      <c r="C15" s="142"/>
      <c r="D15" s="141"/>
      <c r="E15" s="142"/>
      <c r="F15" s="143"/>
      <c r="G15" s="142"/>
      <c r="H15" s="143"/>
      <c r="I15" s="142"/>
      <c r="J15" s="143"/>
      <c r="K15" s="142"/>
      <c r="L15" s="143"/>
      <c r="M15" s="142"/>
      <c r="N15" s="24"/>
    </row>
    <row r="16" spans="1:14" ht="15.75" customHeight="1">
      <c r="A16" s="11" t="s">
        <v>27</v>
      </c>
      <c r="B16" s="132">
        <f>_xlfn.COMPOUNDVALUE(29)</f>
        <v>1413</v>
      </c>
      <c r="C16" s="133">
        <v>545767</v>
      </c>
      <c r="D16" s="132">
        <f>_xlfn.COMPOUNDVALUE(30)</f>
        <v>2152</v>
      </c>
      <c r="E16" s="133">
        <v>580576</v>
      </c>
      <c r="F16" s="132">
        <f>_xlfn.COMPOUNDVALUE(31)</f>
        <v>3565</v>
      </c>
      <c r="G16" s="133">
        <v>1126342</v>
      </c>
      <c r="H16" s="132">
        <f>_xlfn.COMPOUNDVALUE(32)</f>
        <v>134</v>
      </c>
      <c r="I16" s="134">
        <v>38478</v>
      </c>
      <c r="J16" s="132">
        <v>221</v>
      </c>
      <c r="K16" s="134">
        <v>29675</v>
      </c>
      <c r="L16" s="132">
        <f>_xlfn.COMPOUNDVALUE(32)</f>
        <v>3782</v>
      </c>
      <c r="M16" s="134">
        <v>1117539</v>
      </c>
      <c r="N16" s="25" t="s">
        <v>104</v>
      </c>
    </row>
    <row r="17" spans="1:14" ht="15.75" customHeight="1">
      <c r="A17" s="13" t="s">
        <v>28</v>
      </c>
      <c r="B17" s="135">
        <f>_xlfn.COMPOUNDVALUE(33)</f>
        <v>335</v>
      </c>
      <c r="C17" s="136">
        <v>133442</v>
      </c>
      <c r="D17" s="135">
        <f>_xlfn.COMPOUNDVALUE(34)</f>
        <v>463</v>
      </c>
      <c r="E17" s="136">
        <v>134322</v>
      </c>
      <c r="F17" s="135">
        <f>_xlfn.COMPOUNDVALUE(35)</f>
        <v>798</v>
      </c>
      <c r="G17" s="136">
        <v>267765</v>
      </c>
      <c r="H17" s="135">
        <f>_xlfn.COMPOUNDVALUE(36)</f>
        <v>22</v>
      </c>
      <c r="I17" s="137">
        <v>7664</v>
      </c>
      <c r="J17" s="135">
        <v>59</v>
      </c>
      <c r="K17" s="137">
        <v>1002</v>
      </c>
      <c r="L17" s="135">
        <f>_xlfn.COMPOUNDVALUE(36)</f>
        <v>833</v>
      </c>
      <c r="M17" s="137">
        <v>261102</v>
      </c>
      <c r="N17" s="14" t="s">
        <v>105</v>
      </c>
    </row>
    <row r="18" spans="1:14" ht="15.75" customHeight="1">
      <c r="A18" s="13" t="s">
        <v>29</v>
      </c>
      <c r="B18" s="135">
        <f>_xlfn.COMPOUNDVALUE(37)</f>
        <v>285</v>
      </c>
      <c r="C18" s="136">
        <v>145640</v>
      </c>
      <c r="D18" s="135">
        <f>_xlfn.COMPOUNDVALUE(38)</f>
        <v>297</v>
      </c>
      <c r="E18" s="136">
        <v>97201</v>
      </c>
      <c r="F18" s="135">
        <f>_xlfn.COMPOUNDVALUE(39)</f>
        <v>582</v>
      </c>
      <c r="G18" s="136">
        <v>242841</v>
      </c>
      <c r="H18" s="135">
        <f>_xlfn.COMPOUNDVALUE(40)</f>
        <v>36</v>
      </c>
      <c r="I18" s="137">
        <v>34642</v>
      </c>
      <c r="J18" s="135">
        <v>28</v>
      </c>
      <c r="K18" s="137">
        <v>-1830</v>
      </c>
      <c r="L18" s="135">
        <f>_xlfn.COMPOUNDVALUE(40)</f>
        <v>627</v>
      </c>
      <c r="M18" s="137">
        <v>206369</v>
      </c>
      <c r="N18" s="14" t="s">
        <v>106</v>
      </c>
    </row>
    <row r="19" spans="1:14" ht="15.75" customHeight="1">
      <c r="A19" s="13" t="s">
        <v>30</v>
      </c>
      <c r="B19" s="135">
        <f>_xlfn.COMPOUNDVALUE(41)</f>
        <v>445</v>
      </c>
      <c r="C19" s="136">
        <v>166303</v>
      </c>
      <c r="D19" s="135">
        <f>_xlfn.COMPOUNDVALUE(42)</f>
        <v>661</v>
      </c>
      <c r="E19" s="136">
        <v>176673</v>
      </c>
      <c r="F19" s="135">
        <f>_xlfn.COMPOUNDVALUE(43)</f>
        <v>1106</v>
      </c>
      <c r="G19" s="136">
        <v>342976</v>
      </c>
      <c r="H19" s="135">
        <f>_xlfn.COMPOUNDVALUE(44)</f>
        <v>107</v>
      </c>
      <c r="I19" s="137">
        <v>31411</v>
      </c>
      <c r="J19" s="135">
        <v>70</v>
      </c>
      <c r="K19" s="137">
        <v>5105</v>
      </c>
      <c r="L19" s="135">
        <f>_xlfn.COMPOUNDVALUE(44)</f>
        <v>1233</v>
      </c>
      <c r="M19" s="137">
        <v>316670</v>
      </c>
      <c r="N19" s="14" t="s">
        <v>107</v>
      </c>
    </row>
    <row r="20" spans="1:14" ht="15.75" customHeight="1">
      <c r="A20" s="13" t="s">
        <v>31</v>
      </c>
      <c r="B20" s="135">
        <f>_xlfn.COMPOUNDVALUE(45)</f>
        <v>611</v>
      </c>
      <c r="C20" s="136">
        <v>236667</v>
      </c>
      <c r="D20" s="135">
        <f>_xlfn.COMPOUNDVALUE(46)</f>
        <v>797</v>
      </c>
      <c r="E20" s="136">
        <v>200463</v>
      </c>
      <c r="F20" s="135">
        <f>_xlfn.COMPOUNDVALUE(47)</f>
        <v>1408</v>
      </c>
      <c r="G20" s="136">
        <v>437129</v>
      </c>
      <c r="H20" s="135">
        <f>_xlfn.COMPOUNDVALUE(48)</f>
        <v>57</v>
      </c>
      <c r="I20" s="137">
        <v>10290</v>
      </c>
      <c r="J20" s="135">
        <v>134</v>
      </c>
      <c r="K20" s="137">
        <v>12881</v>
      </c>
      <c r="L20" s="135">
        <f>_xlfn.COMPOUNDVALUE(48)</f>
        <v>1505</v>
      </c>
      <c r="M20" s="137">
        <v>439721</v>
      </c>
      <c r="N20" s="14" t="s">
        <v>108</v>
      </c>
    </row>
    <row r="21" spans="1:14" ht="15.75" customHeight="1">
      <c r="A21" s="13" t="s">
        <v>32</v>
      </c>
      <c r="B21" s="135">
        <f>_xlfn.COMPOUNDVALUE(49)</f>
        <v>331</v>
      </c>
      <c r="C21" s="136">
        <v>119619</v>
      </c>
      <c r="D21" s="135">
        <f>_xlfn.COMPOUNDVALUE(50)</f>
        <v>301</v>
      </c>
      <c r="E21" s="136">
        <v>83759</v>
      </c>
      <c r="F21" s="135">
        <f>_xlfn.COMPOUNDVALUE(51)</f>
        <v>632</v>
      </c>
      <c r="G21" s="136">
        <v>203378</v>
      </c>
      <c r="H21" s="135">
        <f>_xlfn.COMPOUNDVALUE(52)</f>
        <v>36</v>
      </c>
      <c r="I21" s="137">
        <v>5186</v>
      </c>
      <c r="J21" s="135">
        <v>32</v>
      </c>
      <c r="K21" s="137">
        <v>6794</v>
      </c>
      <c r="L21" s="135">
        <f>_xlfn.COMPOUNDVALUE(52)</f>
        <v>675</v>
      </c>
      <c r="M21" s="137">
        <v>204987</v>
      </c>
      <c r="N21" s="14" t="s">
        <v>109</v>
      </c>
    </row>
    <row r="22" spans="1:14" ht="15.75" customHeight="1">
      <c r="A22" s="13" t="s">
        <v>33</v>
      </c>
      <c r="B22" s="135">
        <f>_xlfn.COMPOUNDVALUE(53)</f>
        <v>431</v>
      </c>
      <c r="C22" s="136">
        <v>147785</v>
      </c>
      <c r="D22" s="135">
        <f>_xlfn.COMPOUNDVALUE(54)</f>
        <v>662</v>
      </c>
      <c r="E22" s="136">
        <v>169596</v>
      </c>
      <c r="F22" s="135">
        <f>_xlfn.COMPOUNDVALUE(55)</f>
        <v>1093</v>
      </c>
      <c r="G22" s="136">
        <v>317381</v>
      </c>
      <c r="H22" s="135">
        <f>_xlfn.COMPOUNDVALUE(56)</f>
        <v>68</v>
      </c>
      <c r="I22" s="137">
        <v>20791</v>
      </c>
      <c r="J22" s="135">
        <v>95</v>
      </c>
      <c r="K22" s="137">
        <v>6639</v>
      </c>
      <c r="L22" s="135">
        <f>_xlfn.COMPOUNDVALUE(56)</f>
        <v>1193</v>
      </c>
      <c r="M22" s="137">
        <v>303229</v>
      </c>
      <c r="N22" s="14" t="s">
        <v>110</v>
      </c>
    </row>
    <row r="23" spans="1:14" ht="15.75" customHeight="1">
      <c r="A23" s="13" t="s">
        <v>34</v>
      </c>
      <c r="B23" s="135">
        <f>_xlfn.COMPOUNDVALUE(57)</f>
        <v>217</v>
      </c>
      <c r="C23" s="136">
        <v>106292</v>
      </c>
      <c r="D23" s="135">
        <f>_xlfn.COMPOUNDVALUE(58)</f>
        <v>377</v>
      </c>
      <c r="E23" s="136">
        <v>100108</v>
      </c>
      <c r="F23" s="135">
        <f>_xlfn.COMPOUNDVALUE(59)</f>
        <v>594</v>
      </c>
      <c r="G23" s="136">
        <v>206400</v>
      </c>
      <c r="H23" s="135">
        <f>_xlfn.COMPOUNDVALUE(60)</f>
        <v>27</v>
      </c>
      <c r="I23" s="137">
        <v>10956</v>
      </c>
      <c r="J23" s="135">
        <v>36</v>
      </c>
      <c r="K23" s="137">
        <v>3374</v>
      </c>
      <c r="L23" s="135">
        <f>_xlfn.COMPOUNDVALUE(60)</f>
        <v>640</v>
      </c>
      <c r="M23" s="137">
        <v>198818</v>
      </c>
      <c r="N23" s="14" t="s">
        <v>111</v>
      </c>
    </row>
    <row r="24" spans="1:14" ht="15.75" customHeight="1">
      <c r="A24" s="13" t="s">
        <v>35</v>
      </c>
      <c r="B24" s="135">
        <f>_xlfn.COMPOUNDVALUE(61)</f>
        <v>327</v>
      </c>
      <c r="C24" s="136">
        <v>131333</v>
      </c>
      <c r="D24" s="135">
        <f>_xlfn.COMPOUNDVALUE(62)</f>
        <v>421</v>
      </c>
      <c r="E24" s="136">
        <v>99923</v>
      </c>
      <c r="F24" s="135">
        <f>_xlfn.COMPOUNDVALUE(63)</f>
        <v>748</v>
      </c>
      <c r="G24" s="136">
        <v>231256</v>
      </c>
      <c r="H24" s="135">
        <f>_xlfn.COMPOUNDVALUE(64)</f>
        <v>32</v>
      </c>
      <c r="I24" s="137">
        <v>12894</v>
      </c>
      <c r="J24" s="135">
        <v>9</v>
      </c>
      <c r="K24" s="137">
        <v>1068</v>
      </c>
      <c r="L24" s="135">
        <f>_xlfn.COMPOUNDVALUE(64)</f>
        <v>782</v>
      </c>
      <c r="M24" s="137">
        <v>219430</v>
      </c>
      <c r="N24" s="14" t="s">
        <v>112</v>
      </c>
    </row>
    <row r="25" spans="1:14" s="17" customFormat="1" ht="15.75" customHeight="1">
      <c r="A25" s="15" t="s">
        <v>36</v>
      </c>
      <c r="B25" s="138">
        <v>4395</v>
      </c>
      <c r="C25" s="139">
        <v>1732846</v>
      </c>
      <c r="D25" s="138">
        <v>6131</v>
      </c>
      <c r="E25" s="139">
        <v>1642622</v>
      </c>
      <c r="F25" s="138">
        <v>10526</v>
      </c>
      <c r="G25" s="139">
        <v>3375468</v>
      </c>
      <c r="H25" s="138">
        <v>519</v>
      </c>
      <c r="I25" s="140">
        <v>172311</v>
      </c>
      <c r="J25" s="138">
        <v>684</v>
      </c>
      <c r="K25" s="140">
        <v>64708</v>
      </c>
      <c r="L25" s="138">
        <v>11270</v>
      </c>
      <c r="M25" s="140">
        <v>3267865</v>
      </c>
      <c r="N25" s="16" t="s">
        <v>113</v>
      </c>
    </row>
    <row r="26" spans="1:14" s="20" customFormat="1" ht="15.75" customHeight="1">
      <c r="A26" s="23"/>
      <c r="B26" s="141"/>
      <c r="C26" s="142"/>
      <c r="D26" s="141"/>
      <c r="E26" s="142"/>
      <c r="F26" s="143"/>
      <c r="G26" s="142"/>
      <c r="H26" s="143"/>
      <c r="I26" s="142"/>
      <c r="J26" s="143"/>
      <c r="K26" s="142"/>
      <c r="L26" s="143"/>
      <c r="M26" s="142"/>
      <c r="N26" s="24"/>
    </row>
    <row r="27" spans="1:14" s="17" customFormat="1" ht="15.75" customHeight="1">
      <c r="A27" s="11" t="s">
        <v>37</v>
      </c>
      <c r="B27" s="132">
        <f>_xlfn.COMPOUNDVALUE(65)</f>
        <v>1617</v>
      </c>
      <c r="C27" s="133">
        <v>658853</v>
      </c>
      <c r="D27" s="132">
        <f>_xlfn.COMPOUNDVALUE(66)</f>
        <v>2097</v>
      </c>
      <c r="E27" s="133">
        <v>628695</v>
      </c>
      <c r="F27" s="132">
        <f>_xlfn.COMPOUNDVALUE(67)</f>
        <v>3714</v>
      </c>
      <c r="G27" s="133">
        <v>1287548</v>
      </c>
      <c r="H27" s="132">
        <f>_xlfn.COMPOUNDVALUE(68)</f>
        <v>100</v>
      </c>
      <c r="I27" s="134">
        <v>74120</v>
      </c>
      <c r="J27" s="132">
        <v>452</v>
      </c>
      <c r="K27" s="134">
        <v>71565</v>
      </c>
      <c r="L27" s="132">
        <f>_xlfn.COMPOUNDVALUE(68)</f>
        <v>4043</v>
      </c>
      <c r="M27" s="134">
        <v>1284993</v>
      </c>
      <c r="N27" s="25" t="s">
        <v>114</v>
      </c>
    </row>
    <row r="28" spans="1:14" s="17" customFormat="1" ht="15.75" customHeight="1">
      <c r="A28" s="13" t="s">
        <v>38</v>
      </c>
      <c r="B28" s="135">
        <f>_xlfn.COMPOUNDVALUE(69)</f>
        <v>810</v>
      </c>
      <c r="C28" s="136">
        <v>368188</v>
      </c>
      <c r="D28" s="135">
        <f>_xlfn.COMPOUNDVALUE(70)</f>
        <v>1151</v>
      </c>
      <c r="E28" s="136">
        <v>353640</v>
      </c>
      <c r="F28" s="135">
        <f>_xlfn.COMPOUNDVALUE(71)</f>
        <v>1961</v>
      </c>
      <c r="G28" s="136">
        <v>721828</v>
      </c>
      <c r="H28" s="135">
        <f>_xlfn.COMPOUNDVALUE(72)</f>
        <v>44</v>
      </c>
      <c r="I28" s="137">
        <v>31923</v>
      </c>
      <c r="J28" s="135">
        <v>135</v>
      </c>
      <c r="K28" s="137">
        <v>23333</v>
      </c>
      <c r="L28" s="135">
        <f>_xlfn.COMPOUNDVALUE(72)</f>
        <v>2070</v>
      </c>
      <c r="M28" s="137">
        <v>713237</v>
      </c>
      <c r="N28" s="14" t="s">
        <v>115</v>
      </c>
    </row>
    <row r="29" spans="1:14" s="17" customFormat="1" ht="15.75" customHeight="1">
      <c r="A29" s="13" t="s">
        <v>39</v>
      </c>
      <c r="B29" s="135">
        <f>_xlfn.COMPOUNDVALUE(73)</f>
        <v>840</v>
      </c>
      <c r="C29" s="136">
        <v>333480</v>
      </c>
      <c r="D29" s="135">
        <f>_xlfn.COMPOUNDVALUE(74)</f>
        <v>1288</v>
      </c>
      <c r="E29" s="136">
        <v>340979</v>
      </c>
      <c r="F29" s="135">
        <f>_xlfn.COMPOUNDVALUE(75)</f>
        <v>2128</v>
      </c>
      <c r="G29" s="136">
        <v>674459</v>
      </c>
      <c r="H29" s="135">
        <f>_xlfn.COMPOUNDVALUE(76)</f>
        <v>44</v>
      </c>
      <c r="I29" s="137">
        <v>21816</v>
      </c>
      <c r="J29" s="135">
        <v>296</v>
      </c>
      <c r="K29" s="137">
        <v>13013</v>
      </c>
      <c r="L29" s="135">
        <f>_xlfn.COMPOUNDVALUE(76)</f>
        <v>2272</v>
      </c>
      <c r="M29" s="137">
        <v>665656</v>
      </c>
      <c r="N29" s="14" t="s">
        <v>116</v>
      </c>
    </row>
    <row r="30" spans="1:14" s="17" customFormat="1" ht="15.75" customHeight="1">
      <c r="A30" s="13" t="s">
        <v>40</v>
      </c>
      <c r="B30" s="135">
        <f>_xlfn.COMPOUNDVALUE(77)</f>
        <v>775</v>
      </c>
      <c r="C30" s="136">
        <v>364080</v>
      </c>
      <c r="D30" s="135">
        <f>_xlfn.COMPOUNDVALUE(78)</f>
        <v>1198</v>
      </c>
      <c r="E30" s="136">
        <v>344866</v>
      </c>
      <c r="F30" s="135">
        <f>_xlfn.COMPOUNDVALUE(79)</f>
        <v>1973</v>
      </c>
      <c r="G30" s="136">
        <v>708946</v>
      </c>
      <c r="H30" s="135">
        <f>_xlfn.COMPOUNDVALUE(80)</f>
        <v>62</v>
      </c>
      <c r="I30" s="137">
        <v>40623</v>
      </c>
      <c r="J30" s="135">
        <v>148</v>
      </c>
      <c r="K30" s="137">
        <v>10885</v>
      </c>
      <c r="L30" s="135">
        <f>_xlfn.COMPOUNDVALUE(80)</f>
        <v>2140</v>
      </c>
      <c r="M30" s="137">
        <v>679208</v>
      </c>
      <c r="N30" s="14" t="s">
        <v>117</v>
      </c>
    </row>
    <row r="31" spans="1:14" s="17" customFormat="1" ht="15.75" customHeight="1">
      <c r="A31" s="13" t="s">
        <v>41</v>
      </c>
      <c r="B31" s="135">
        <f>_xlfn.COMPOUNDVALUE(81)</f>
        <v>550</v>
      </c>
      <c r="C31" s="136">
        <v>184775</v>
      </c>
      <c r="D31" s="135">
        <f>_xlfn.COMPOUNDVALUE(82)</f>
        <v>786</v>
      </c>
      <c r="E31" s="136">
        <v>193923</v>
      </c>
      <c r="F31" s="135">
        <f>_xlfn.COMPOUNDVALUE(83)</f>
        <v>1336</v>
      </c>
      <c r="G31" s="136">
        <v>378698</v>
      </c>
      <c r="H31" s="135">
        <f>_xlfn.COMPOUNDVALUE(84)</f>
        <v>37</v>
      </c>
      <c r="I31" s="137">
        <v>7691</v>
      </c>
      <c r="J31" s="135">
        <v>154</v>
      </c>
      <c r="K31" s="137">
        <v>13509</v>
      </c>
      <c r="L31" s="135">
        <f>_xlfn.COMPOUNDVALUE(84)</f>
        <v>1442</v>
      </c>
      <c r="M31" s="137">
        <v>384516</v>
      </c>
      <c r="N31" s="14" t="s">
        <v>118</v>
      </c>
    </row>
    <row r="32" spans="1:14" s="17" customFormat="1" ht="15.75" customHeight="1">
      <c r="A32" s="13" t="s">
        <v>42</v>
      </c>
      <c r="B32" s="135">
        <f>_xlfn.COMPOUNDVALUE(85)</f>
        <v>712</v>
      </c>
      <c r="C32" s="136">
        <v>234509</v>
      </c>
      <c r="D32" s="135">
        <f>_xlfn.COMPOUNDVALUE(86)</f>
        <v>1339</v>
      </c>
      <c r="E32" s="136">
        <v>333250</v>
      </c>
      <c r="F32" s="135">
        <f>_xlfn.COMPOUNDVALUE(87)</f>
        <v>2051</v>
      </c>
      <c r="G32" s="136">
        <v>567759</v>
      </c>
      <c r="H32" s="135">
        <f>_xlfn.COMPOUNDVALUE(88)</f>
        <v>110</v>
      </c>
      <c r="I32" s="137">
        <v>35683</v>
      </c>
      <c r="J32" s="135">
        <v>118</v>
      </c>
      <c r="K32" s="137">
        <v>21723</v>
      </c>
      <c r="L32" s="135">
        <f>_xlfn.COMPOUNDVALUE(88)</f>
        <v>2222</v>
      </c>
      <c r="M32" s="137">
        <v>553798</v>
      </c>
      <c r="N32" s="14" t="s">
        <v>119</v>
      </c>
    </row>
    <row r="33" spans="1:14" s="17" customFormat="1" ht="15.75" customHeight="1">
      <c r="A33" s="13" t="s">
        <v>43</v>
      </c>
      <c r="B33" s="135">
        <f>_xlfn.COMPOUNDVALUE(89)</f>
        <v>288</v>
      </c>
      <c r="C33" s="136">
        <v>129540</v>
      </c>
      <c r="D33" s="135">
        <f>_xlfn.COMPOUNDVALUE(90)</f>
        <v>339</v>
      </c>
      <c r="E33" s="136">
        <v>103800</v>
      </c>
      <c r="F33" s="135">
        <f>_xlfn.COMPOUNDVALUE(91)</f>
        <v>627</v>
      </c>
      <c r="G33" s="136">
        <v>233340</v>
      </c>
      <c r="H33" s="135">
        <f>_xlfn.COMPOUNDVALUE(92)</f>
        <v>33</v>
      </c>
      <c r="I33" s="137">
        <v>15229</v>
      </c>
      <c r="J33" s="135">
        <v>100</v>
      </c>
      <c r="K33" s="137">
        <v>1257</v>
      </c>
      <c r="L33" s="135">
        <f>_xlfn.COMPOUNDVALUE(92)</f>
        <v>732</v>
      </c>
      <c r="M33" s="137">
        <v>219368</v>
      </c>
      <c r="N33" s="14" t="s">
        <v>120</v>
      </c>
    </row>
    <row r="34" spans="1:14" s="17" customFormat="1" ht="15.75" customHeight="1">
      <c r="A34" s="13" t="s">
        <v>44</v>
      </c>
      <c r="B34" s="135">
        <f>_xlfn.COMPOUNDVALUE(93)</f>
        <v>570</v>
      </c>
      <c r="C34" s="136">
        <v>205640</v>
      </c>
      <c r="D34" s="135">
        <f>_xlfn.COMPOUNDVALUE(94)</f>
        <v>910</v>
      </c>
      <c r="E34" s="136">
        <v>226868</v>
      </c>
      <c r="F34" s="135">
        <f>_xlfn.COMPOUNDVALUE(95)</f>
        <v>1480</v>
      </c>
      <c r="G34" s="136">
        <v>432508</v>
      </c>
      <c r="H34" s="135">
        <f>_xlfn.COMPOUNDVALUE(96)</f>
        <v>81</v>
      </c>
      <c r="I34" s="137">
        <v>32451</v>
      </c>
      <c r="J34" s="135">
        <v>111</v>
      </c>
      <c r="K34" s="137">
        <v>12215</v>
      </c>
      <c r="L34" s="135">
        <f>_xlfn.COMPOUNDVALUE(96)</f>
        <v>1597</v>
      </c>
      <c r="M34" s="137">
        <v>412272</v>
      </c>
      <c r="N34" s="14" t="s">
        <v>121</v>
      </c>
    </row>
    <row r="35" spans="1:14" s="17" customFormat="1" ht="15.75" customHeight="1">
      <c r="A35" s="13" t="s">
        <v>45</v>
      </c>
      <c r="B35" s="135">
        <f>_xlfn.COMPOUNDVALUE(97)</f>
        <v>279</v>
      </c>
      <c r="C35" s="136">
        <v>94625</v>
      </c>
      <c r="D35" s="135">
        <f>_xlfn.COMPOUNDVALUE(98)</f>
        <v>455</v>
      </c>
      <c r="E35" s="136">
        <v>108544</v>
      </c>
      <c r="F35" s="135">
        <f>_xlfn.COMPOUNDVALUE(99)</f>
        <v>734</v>
      </c>
      <c r="G35" s="136">
        <v>203169</v>
      </c>
      <c r="H35" s="135">
        <f>_xlfn.COMPOUNDVALUE(100)</f>
        <v>53</v>
      </c>
      <c r="I35" s="137">
        <v>13761</v>
      </c>
      <c r="J35" s="135">
        <v>78</v>
      </c>
      <c r="K35" s="137">
        <v>9543</v>
      </c>
      <c r="L35" s="135">
        <f>_xlfn.COMPOUNDVALUE(100)</f>
        <v>814</v>
      </c>
      <c r="M35" s="137">
        <v>198950</v>
      </c>
      <c r="N35" s="14" t="s">
        <v>122</v>
      </c>
    </row>
    <row r="36" spans="1:14" s="17" customFormat="1" ht="15.75" customHeight="1">
      <c r="A36" s="13" t="s">
        <v>46</v>
      </c>
      <c r="B36" s="135">
        <f>_xlfn.COMPOUNDVALUE(101)</f>
        <v>374</v>
      </c>
      <c r="C36" s="136">
        <v>118589</v>
      </c>
      <c r="D36" s="135">
        <f>_xlfn.COMPOUNDVALUE(102)</f>
        <v>628</v>
      </c>
      <c r="E36" s="136">
        <v>160083</v>
      </c>
      <c r="F36" s="135">
        <f>_xlfn.COMPOUNDVALUE(103)</f>
        <v>1002</v>
      </c>
      <c r="G36" s="136">
        <v>278672</v>
      </c>
      <c r="H36" s="135">
        <f>_xlfn.COMPOUNDVALUE(104)</f>
        <v>91</v>
      </c>
      <c r="I36" s="137">
        <v>45744</v>
      </c>
      <c r="J36" s="135">
        <v>40</v>
      </c>
      <c r="K36" s="137">
        <v>4170</v>
      </c>
      <c r="L36" s="135">
        <f>_xlfn.COMPOUNDVALUE(104)</f>
        <v>1106</v>
      </c>
      <c r="M36" s="137">
        <v>237097</v>
      </c>
      <c r="N36" s="14" t="s">
        <v>123</v>
      </c>
    </row>
    <row r="37" spans="1:14" s="17" customFormat="1" ht="15.75" customHeight="1">
      <c r="A37" s="15" t="s">
        <v>47</v>
      </c>
      <c r="B37" s="138">
        <v>6815</v>
      </c>
      <c r="C37" s="139">
        <v>2692280</v>
      </c>
      <c r="D37" s="138">
        <v>10191</v>
      </c>
      <c r="E37" s="139">
        <v>2794646</v>
      </c>
      <c r="F37" s="138">
        <v>17006</v>
      </c>
      <c r="G37" s="139">
        <v>5486926</v>
      </c>
      <c r="H37" s="138">
        <v>655</v>
      </c>
      <c r="I37" s="140">
        <v>319042</v>
      </c>
      <c r="J37" s="138">
        <v>1632</v>
      </c>
      <c r="K37" s="140">
        <v>181212</v>
      </c>
      <c r="L37" s="138">
        <v>18438</v>
      </c>
      <c r="M37" s="140">
        <v>5349096</v>
      </c>
      <c r="N37" s="16" t="s">
        <v>124</v>
      </c>
    </row>
    <row r="38" spans="1:14" s="17" customFormat="1" ht="15.75" customHeight="1">
      <c r="A38" s="104"/>
      <c r="B38" s="144"/>
      <c r="C38" s="145"/>
      <c r="D38" s="144"/>
      <c r="E38" s="145"/>
      <c r="F38" s="146"/>
      <c r="G38" s="145"/>
      <c r="H38" s="146"/>
      <c r="I38" s="145"/>
      <c r="J38" s="146"/>
      <c r="K38" s="145"/>
      <c r="L38" s="146"/>
      <c r="M38" s="145"/>
      <c r="N38" s="105"/>
    </row>
    <row r="39" spans="1:14" s="17" customFormat="1" ht="15.75" customHeight="1">
      <c r="A39" s="11" t="s">
        <v>48</v>
      </c>
      <c r="B39" s="132">
        <f>_xlfn.COMPOUNDVALUE(105)</f>
        <v>623</v>
      </c>
      <c r="C39" s="133">
        <v>236160</v>
      </c>
      <c r="D39" s="132">
        <f>_xlfn.COMPOUNDVALUE(106)</f>
        <v>992</v>
      </c>
      <c r="E39" s="133">
        <v>272255</v>
      </c>
      <c r="F39" s="132">
        <f>_xlfn.COMPOUNDVALUE(107)</f>
        <v>1615</v>
      </c>
      <c r="G39" s="133">
        <v>508416</v>
      </c>
      <c r="H39" s="132">
        <f>_xlfn.COMPOUNDVALUE(108)</f>
        <v>34</v>
      </c>
      <c r="I39" s="134">
        <v>4312</v>
      </c>
      <c r="J39" s="132">
        <v>60</v>
      </c>
      <c r="K39" s="134">
        <v>9380</v>
      </c>
      <c r="L39" s="132">
        <f>_xlfn.COMPOUNDVALUE(108)</f>
        <v>1673</v>
      </c>
      <c r="M39" s="134">
        <v>513484</v>
      </c>
      <c r="N39" s="12" t="s">
        <v>125</v>
      </c>
    </row>
    <row r="40" spans="1:14" s="17" customFormat="1" ht="15.75" customHeight="1">
      <c r="A40" s="13" t="s">
        <v>49</v>
      </c>
      <c r="B40" s="135">
        <f>_xlfn.COMPOUNDVALUE(109)</f>
        <v>410</v>
      </c>
      <c r="C40" s="136">
        <v>133986</v>
      </c>
      <c r="D40" s="135">
        <f>_xlfn.COMPOUNDVALUE(110)</f>
        <v>1230</v>
      </c>
      <c r="E40" s="136">
        <v>305223</v>
      </c>
      <c r="F40" s="135">
        <f>_xlfn.COMPOUNDVALUE(111)</f>
        <v>1640</v>
      </c>
      <c r="G40" s="136">
        <v>439209</v>
      </c>
      <c r="H40" s="135">
        <f>_xlfn.COMPOUNDVALUE(112)</f>
        <v>25</v>
      </c>
      <c r="I40" s="137">
        <v>7229</v>
      </c>
      <c r="J40" s="135">
        <v>100</v>
      </c>
      <c r="K40" s="137">
        <v>7974</v>
      </c>
      <c r="L40" s="135">
        <f>_xlfn.COMPOUNDVALUE(112)</f>
        <v>1703</v>
      </c>
      <c r="M40" s="137">
        <v>439955</v>
      </c>
      <c r="N40" s="14" t="s">
        <v>126</v>
      </c>
    </row>
    <row r="41" spans="1:14" s="17" customFormat="1" ht="15.75" customHeight="1">
      <c r="A41" s="13" t="s">
        <v>50</v>
      </c>
      <c r="B41" s="135">
        <f>_xlfn.COMPOUNDVALUE(113)</f>
        <v>319</v>
      </c>
      <c r="C41" s="136">
        <v>116248</v>
      </c>
      <c r="D41" s="135">
        <f>_xlfn.COMPOUNDVALUE(114)</f>
        <v>702</v>
      </c>
      <c r="E41" s="136">
        <v>158246</v>
      </c>
      <c r="F41" s="135">
        <f>_xlfn.COMPOUNDVALUE(115)</f>
        <v>1021</v>
      </c>
      <c r="G41" s="136">
        <v>274493</v>
      </c>
      <c r="H41" s="135">
        <f>_xlfn.COMPOUNDVALUE(116)</f>
        <v>29</v>
      </c>
      <c r="I41" s="137">
        <v>5804</v>
      </c>
      <c r="J41" s="135">
        <v>69</v>
      </c>
      <c r="K41" s="137">
        <v>4676</v>
      </c>
      <c r="L41" s="135">
        <f>_xlfn.COMPOUNDVALUE(116)</f>
        <v>1063</v>
      </c>
      <c r="M41" s="137">
        <v>273366</v>
      </c>
      <c r="N41" s="14" t="s">
        <v>127</v>
      </c>
    </row>
    <row r="42" spans="1:14" s="17" customFormat="1" ht="15.75" customHeight="1">
      <c r="A42" s="13" t="s">
        <v>51</v>
      </c>
      <c r="B42" s="135">
        <f>_xlfn.COMPOUNDVALUE(117)</f>
        <v>322</v>
      </c>
      <c r="C42" s="136">
        <v>110990</v>
      </c>
      <c r="D42" s="135">
        <f>_xlfn.COMPOUNDVALUE(118)</f>
        <v>650</v>
      </c>
      <c r="E42" s="136">
        <v>147380</v>
      </c>
      <c r="F42" s="135">
        <f>_xlfn.COMPOUNDVALUE(119)</f>
        <v>972</v>
      </c>
      <c r="G42" s="136">
        <v>258370</v>
      </c>
      <c r="H42" s="135">
        <f>_xlfn.COMPOUNDVALUE(120)</f>
        <v>22</v>
      </c>
      <c r="I42" s="137">
        <v>2122</v>
      </c>
      <c r="J42" s="135">
        <v>44</v>
      </c>
      <c r="K42" s="137">
        <v>2077</v>
      </c>
      <c r="L42" s="135">
        <f>_xlfn.COMPOUNDVALUE(120)</f>
        <v>1003</v>
      </c>
      <c r="M42" s="137">
        <v>258324</v>
      </c>
      <c r="N42" s="14" t="s">
        <v>128</v>
      </c>
    </row>
    <row r="43" spans="1:14" s="17" customFormat="1" ht="15.75" customHeight="1">
      <c r="A43" s="13" t="s">
        <v>52</v>
      </c>
      <c r="B43" s="135">
        <f>_xlfn.COMPOUNDVALUE(121)</f>
        <v>390</v>
      </c>
      <c r="C43" s="136">
        <v>137511</v>
      </c>
      <c r="D43" s="135">
        <f>_xlfn.COMPOUNDVALUE(122)</f>
        <v>873</v>
      </c>
      <c r="E43" s="136">
        <v>209892</v>
      </c>
      <c r="F43" s="135">
        <f>_xlfn.COMPOUNDVALUE(123)</f>
        <v>1263</v>
      </c>
      <c r="G43" s="136">
        <v>347403</v>
      </c>
      <c r="H43" s="135">
        <f>_xlfn.COMPOUNDVALUE(124)</f>
        <v>40</v>
      </c>
      <c r="I43" s="137">
        <v>4282</v>
      </c>
      <c r="J43" s="135">
        <v>99</v>
      </c>
      <c r="K43" s="137">
        <v>5826</v>
      </c>
      <c r="L43" s="135">
        <f>_xlfn.COMPOUNDVALUE(124)</f>
        <v>1320</v>
      </c>
      <c r="M43" s="137">
        <v>348947</v>
      </c>
      <c r="N43" s="14" t="s">
        <v>129</v>
      </c>
    </row>
    <row r="44" spans="1:14" s="17" customFormat="1" ht="15.75" customHeight="1">
      <c r="A44" s="13" t="s">
        <v>53</v>
      </c>
      <c r="B44" s="135">
        <f>_xlfn.COMPOUNDVALUE(125)</f>
        <v>363</v>
      </c>
      <c r="C44" s="136">
        <v>133835</v>
      </c>
      <c r="D44" s="135">
        <f>_xlfn.COMPOUNDVALUE(126)</f>
        <v>692</v>
      </c>
      <c r="E44" s="136">
        <v>148578</v>
      </c>
      <c r="F44" s="135">
        <f>_xlfn.COMPOUNDVALUE(127)</f>
        <v>1055</v>
      </c>
      <c r="G44" s="136">
        <v>282413</v>
      </c>
      <c r="H44" s="135">
        <f>_xlfn.COMPOUNDVALUE(128)</f>
        <v>13</v>
      </c>
      <c r="I44" s="137">
        <v>2465</v>
      </c>
      <c r="J44" s="135">
        <v>33</v>
      </c>
      <c r="K44" s="137">
        <v>3419</v>
      </c>
      <c r="L44" s="135">
        <f>_xlfn.COMPOUNDVALUE(128)</f>
        <v>1076</v>
      </c>
      <c r="M44" s="137">
        <v>283367</v>
      </c>
      <c r="N44" s="14" t="s">
        <v>130</v>
      </c>
    </row>
    <row r="45" spans="1:14" s="17" customFormat="1" ht="15.75" customHeight="1">
      <c r="A45" s="13" t="s">
        <v>54</v>
      </c>
      <c r="B45" s="135">
        <f>_xlfn.COMPOUNDVALUE(129)</f>
        <v>285</v>
      </c>
      <c r="C45" s="136">
        <v>92113</v>
      </c>
      <c r="D45" s="135">
        <f>_xlfn.COMPOUNDVALUE(130)</f>
        <v>475</v>
      </c>
      <c r="E45" s="136">
        <v>105827</v>
      </c>
      <c r="F45" s="135">
        <f>_xlfn.COMPOUNDVALUE(131)</f>
        <v>760</v>
      </c>
      <c r="G45" s="136">
        <v>197941</v>
      </c>
      <c r="H45" s="135">
        <f>_xlfn.COMPOUNDVALUE(132)</f>
        <v>28</v>
      </c>
      <c r="I45" s="137">
        <v>3562</v>
      </c>
      <c r="J45" s="135">
        <v>24</v>
      </c>
      <c r="K45" s="137">
        <v>5499</v>
      </c>
      <c r="L45" s="135">
        <f>_xlfn.COMPOUNDVALUE(132)</f>
        <v>803</v>
      </c>
      <c r="M45" s="137">
        <v>199878</v>
      </c>
      <c r="N45" s="14" t="s">
        <v>131</v>
      </c>
    </row>
    <row r="46" spans="1:14" s="17" customFormat="1" ht="15.75" customHeight="1">
      <c r="A46" s="13" t="s">
        <v>55</v>
      </c>
      <c r="B46" s="135">
        <f>_xlfn.COMPOUNDVALUE(133)</f>
        <v>399</v>
      </c>
      <c r="C46" s="136">
        <v>134279</v>
      </c>
      <c r="D46" s="135">
        <f>_xlfn.COMPOUNDVALUE(134)</f>
        <v>887</v>
      </c>
      <c r="E46" s="136">
        <v>213977</v>
      </c>
      <c r="F46" s="135">
        <f>_xlfn.COMPOUNDVALUE(135)</f>
        <v>1286</v>
      </c>
      <c r="G46" s="136">
        <v>348256</v>
      </c>
      <c r="H46" s="135">
        <f>_xlfn.COMPOUNDVALUE(136)</f>
        <v>22</v>
      </c>
      <c r="I46" s="137">
        <v>3583</v>
      </c>
      <c r="J46" s="135">
        <v>81</v>
      </c>
      <c r="K46" s="137">
        <v>7808</v>
      </c>
      <c r="L46" s="135">
        <f>_xlfn.COMPOUNDVALUE(136)</f>
        <v>1325</v>
      </c>
      <c r="M46" s="137">
        <v>352481</v>
      </c>
      <c r="N46" s="14" t="s">
        <v>132</v>
      </c>
    </row>
    <row r="47" spans="1:14" s="17" customFormat="1" ht="15.75" customHeight="1">
      <c r="A47" s="15" t="s">
        <v>56</v>
      </c>
      <c r="B47" s="138">
        <v>3111</v>
      </c>
      <c r="C47" s="139">
        <v>1095123</v>
      </c>
      <c r="D47" s="138">
        <v>6501</v>
      </c>
      <c r="E47" s="139">
        <v>1561378</v>
      </c>
      <c r="F47" s="138">
        <v>9612</v>
      </c>
      <c r="G47" s="139">
        <v>2656501</v>
      </c>
      <c r="H47" s="138">
        <v>213</v>
      </c>
      <c r="I47" s="140">
        <v>33358</v>
      </c>
      <c r="J47" s="138">
        <v>510</v>
      </c>
      <c r="K47" s="140">
        <v>46659</v>
      </c>
      <c r="L47" s="138">
        <v>9966</v>
      </c>
      <c r="M47" s="140">
        <v>2669802</v>
      </c>
      <c r="N47" s="16" t="s">
        <v>133</v>
      </c>
    </row>
    <row r="48" spans="1:14" s="17" customFormat="1" ht="15.75" customHeight="1">
      <c r="A48" s="23"/>
      <c r="B48" s="141"/>
      <c r="C48" s="142"/>
      <c r="D48" s="141"/>
      <c r="E48" s="142"/>
      <c r="F48" s="143"/>
      <c r="G48" s="142"/>
      <c r="H48" s="143"/>
      <c r="I48" s="142"/>
      <c r="J48" s="143"/>
      <c r="K48" s="142"/>
      <c r="L48" s="143"/>
      <c r="M48" s="142"/>
      <c r="N48" s="24"/>
    </row>
    <row r="49" spans="1:14" s="17" customFormat="1" ht="15.75" customHeight="1">
      <c r="A49" s="11" t="s">
        <v>57</v>
      </c>
      <c r="B49" s="132">
        <f>_xlfn.COMPOUNDVALUE(137)</f>
        <v>1000</v>
      </c>
      <c r="C49" s="133">
        <v>358063</v>
      </c>
      <c r="D49" s="132">
        <f>_xlfn.COMPOUNDVALUE(138)</f>
        <v>2139</v>
      </c>
      <c r="E49" s="133">
        <v>509532</v>
      </c>
      <c r="F49" s="132">
        <f>_xlfn.COMPOUNDVALUE(139)</f>
        <v>3139</v>
      </c>
      <c r="G49" s="133">
        <v>867594</v>
      </c>
      <c r="H49" s="132">
        <f>_xlfn.COMPOUNDVALUE(140)</f>
        <v>46</v>
      </c>
      <c r="I49" s="134">
        <v>12079</v>
      </c>
      <c r="J49" s="132">
        <v>150</v>
      </c>
      <c r="K49" s="134">
        <v>19459</v>
      </c>
      <c r="L49" s="132">
        <f>_xlfn.COMPOUNDVALUE(140)</f>
        <v>3242</v>
      </c>
      <c r="M49" s="134">
        <v>874975</v>
      </c>
      <c r="N49" s="25" t="s">
        <v>134</v>
      </c>
    </row>
    <row r="50" spans="1:14" s="17" customFormat="1" ht="15.75" customHeight="1">
      <c r="A50" s="13" t="s">
        <v>58</v>
      </c>
      <c r="B50" s="135">
        <f>_xlfn.COMPOUNDVALUE(141)</f>
        <v>561</v>
      </c>
      <c r="C50" s="136">
        <v>203601</v>
      </c>
      <c r="D50" s="135">
        <f>_xlfn.COMPOUNDVALUE(142)</f>
        <v>1029</v>
      </c>
      <c r="E50" s="136">
        <v>243832</v>
      </c>
      <c r="F50" s="135">
        <f>_xlfn.COMPOUNDVALUE(143)</f>
        <v>1590</v>
      </c>
      <c r="G50" s="136">
        <v>447433</v>
      </c>
      <c r="H50" s="135">
        <f>_xlfn.COMPOUNDVALUE(144)</f>
        <v>35</v>
      </c>
      <c r="I50" s="137">
        <v>8953</v>
      </c>
      <c r="J50" s="135">
        <v>85</v>
      </c>
      <c r="K50" s="137">
        <v>4839</v>
      </c>
      <c r="L50" s="135">
        <f>_xlfn.COMPOUNDVALUE(144)</f>
        <v>1652</v>
      </c>
      <c r="M50" s="137">
        <v>443318</v>
      </c>
      <c r="N50" s="14" t="s">
        <v>135</v>
      </c>
    </row>
    <row r="51" spans="1:14" s="17" customFormat="1" ht="15.75" customHeight="1">
      <c r="A51" s="13" t="s">
        <v>59</v>
      </c>
      <c r="B51" s="135">
        <f>_xlfn.COMPOUNDVALUE(145)</f>
        <v>512</v>
      </c>
      <c r="C51" s="136">
        <v>192263</v>
      </c>
      <c r="D51" s="135">
        <f>_xlfn.COMPOUNDVALUE(146)</f>
        <v>1229</v>
      </c>
      <c r="E51" s="136">
        <v>285374</v>
      </c>
      <c r="F51" s="135">
        <f>_xlfn.COMPOUNDVALUE(147)</f>
        <v>1741</v>
      </c>
      <c r="G51" s="136">
        <v>477637</v>
      </c>
      <c r="H51" s="135">
        <f>_xlfn.COMPOUNDVALUE(148)</f>
        <v>50</v>
      </c>
      <c r="I51" s="137">
        <v>10307</v>
      </c>
      <c r="J51" s="135">
        <v>114</v>
      </c>
      <c r="K51" s="137">
        <v>7744</v>
      </c>
      <c r="L51" s="135">
        <f>_xlfn.COMPOUNDVALUE(148)</f>
        <v>1850</v>
      </c>
      <c r="M51" s="137">
        <v>475074</v>
      </c>
      <c r="N51" s="14" t="s">
        <v>136</v>
      </c>
    </row>
    <row r="52" spans="1:14" s="17" customFormat="1" ht="15.75" customHeight="1">
      <c r="A52" s="13" t="s">
        <v>60</v>
      </c>
      <c r="B52" s="135">
        <f>_xlfn.COMPOUNDVALUE(149)</f>
        <v>369</v>
      </c>
      <c r="C52" s="136">
        <v>114179</v>
      </c>
      <c r="D52" s="135">
        <f>_xlfn.COMPOUNDVALUE(150)</f>
        <v>821</v>
      </c>
      <c r="E52" s="136">
        <v>184638</v>
      </c>
      <c r="F52" s="135">
        <f>_xlfn.COMPOUNDVALUE(151)</f>
        <v>1190</v>
      </c>
      <c r="G52" s="136">
        <v>298817</v>
      </c>
      <c r="H52" s="135">
        <f>_xlfn.COMPOUNDVALUE(152)</f>
        <v>25</v>
      </c>
      <c r="I52" s="137">
        <v>3987</v>
      </c>
      <c r="J52" s="135">
        <v>91</v>
      </c>
      <c r="K52" s="137">
        <v>10429</v>
      </c>
      <c r="L52" s="135">
        <f>_xlfn.COMPOUNDVALUE(152)</f>
        <v>1238</v>
      </c>
      <c r="M52" s="137">
        <v>305259</v>
      </c>
      <c r="N52" s="14" t="s">
        <v>137</v>
      </c>
    </row>
    <row r="53" spans="1:14" s="17" customFormat="1" ht="15.75" customHeight="1">
      <c r="A53" s="13" t="s">
        <v>61</v>
      </c>
      <c r="B53" s="135">
        <f>_xlfn.COMPOUNDVALUE(153)</f>
        <v>389</v>
      </c>
      <c r="C53" s="136">
        <v>144935</v>
      </c>
      <c r="D53" s="135">
        <f>_xlfn.COMPOUNDVALUE(154)</f>
        <v>724</v>
      </c>
      <c r="E53" s="136">
        <v>174113</v>
      </c>
      <c r="F53" s="135">
        <f>_xlfn.COMPOUNDVALUE(155)</f>
        <v>1113</v>
      </c>
      <c r="G53" s="136">
        <v>319047</v>
      </c>
      <c r="H53" s="135">
        <f>_xlfn.COMPOUNDVALUE(156)</f>
        <v>18</v>
      </c>
      <c r="I53" s="137">
        <v>4106</v>
      </c>
      <c r="J53" s="135">
        <v>52</v>
      </c>
      <c r="K53" s="137">
        <v>9562</v>
      </c>
      <c r="L53" s="135">
        <f>_xlfn.COMPOUNDVALUE(156)</f>
        <v>1154</v>
      </c>
      <c r="M53" s="137">
        <v>324503</v>
      </c>
      <c r="N53" s="14" t="s">
        <v>138</v>
      </c>
    </row>
    <row r="54" spans="1:14" s="17" customFormat="1" ht="15.75" customHeight="1">
      <c r="A54" s="13" t="s">
        <v>62</v>
      </c>
      <c r="B54" s="135">
        <f>_xlfn.COMPOUNDVALUE(157)</f>
        <v>268</v>
      </c>
      <c r="C54" s="136">
        <v>94207</v>
      </c>
      <c r="D54" s="135">
        <f>_xlfn.COMPOUNDVALUE(158)</f>
        <v>654</v>
      </c>
      <c r="E54" s="136">
        <v>153311</v>
      </c>
      <c r="F54" s="135">
        <f>_xlfn.COMPOUNDVALUE(159)</f>
        <v>922</v>
      </c>
      <c r="G54" s="136">
        <v>247518</v>
      </c>
      <c r="H54" s="135">
        <f>_xlfn.COMPOUNDVALUE(160)</f>
        <v>16</v>
      </c>
      <c r="I54" s="137">
        <v>4856</v>
      </c>
      <c r="J54" s="135">
        <v>58</v>
      </c>
      <c r="K54" s="137">
        <v>1991</v>
      </c>
      <c r="L54" s="135">
        <f>_xlfn.COMPOUNDVALUE(160)</f>
        <v>952</v>
      </c>
      <c r="M54" s="137">
        <v>244653</v>
      </c>
      <c r="N54" s="14" t="s">
        <v>139</v>
      </c>
    </row>
    <row r="55" spans="1:14" s="17" customFormat="1" ht="15.75" customHeight="1">
      <c r="A55" s="13" t="s">
        <v>63</v>
      </c>
      <c r="B55" s="135">
        <f>_xlfn.COMPOUNDVALUE(161)</f>
        <v>430</v>
      </c>
      <c r="C55" s="136">
        <v>157950</v>
      </c>
      <c r="D55" s="135">
        <f>_xlfn.COMPOUNDVALUE(162)</f>
        <v>852</v>
      </c>
      <c r="E55" s="136">
        <v>205546</v>
      </c>
      <c r="F55" s="135">
        <f>_xlfn.COMPOUNDVALUE(163)</f>
        <v>1282</v>
      </c>
      <c r="G55" s="136">
        <v>363496</v>
      </c>
      <c r="H55" s="135">
        <f>_xlfn.COMPOUNDVALUE(164)</f>
        <v>25</v>
      </c>
      <c r="I55" s="137">
        <v>10054</v>
      </c>
      <c r="J55" s="135">
        <v>73</v>
      </c>
      <c r="K55" s="137">
        <v>12238</v>
      </c>
      <c r="L55" s="135">
        <f>_xlfn.COMPOUNDVALUE(164)</f>
        <v>1346</v>
      </c>
      <c r="M55" s="137">
        <v>365680</v>
      </c>
      <c r="N55" s="14" t="s">
        <v>140</v>
      </c>
    </row>
    <row r="56" spans="1:14" s="17" customFormat="1" ht="15.75" customHeight="1">
      <c r="A56" s="13" t="s">
        <v>64</v>
      </c>
      <c r="B56" s="135">
        <f>_xlfn.COMPOUNDVALUE(165)</f>
        <v>248</v>
      </c>
      <c r="C56" s="136">
        <v>78067</v>
      </c>
      <c r="D56" s="135">
        <f>_xlfn.COMPOUNDVALUE(166)</f>
        <v>437</v>
      </c>
      <c r="E56" s="136">
        <v>103586</v>
      </c>
      <c r="F56" s="135">
        <f>_xlfn.COMPOUNDVALUE(167)</f>
        <v>685</v>
      </c>
      <c r="G56" s="136">
        <v>181652</v>
      </c>
      <c r="H56" s="135">
        <f>_xlfn.COMPOUNDVALUE(168)</f>
        <v>25</v>
      </c>
      <c r="I56" s="137">
        <v>6857</v>
      </c>
      <c r="J56" s="135">
        <v>20</v>
      </c>
      <c r="K56" s="137">
        <v>2344</v>
      </c>
      <c r="L56" s="135">
        <f>_xlfn.COMPOUNDVALUE(168)</f>
        <v>720</v>
      </c>
      <c r="M56" s="137">
        <v>177139</v>
      </c>
      <c r="N56" s="14" t="s">
        <v>141</v>
      </c>
    </row>
    <row r="57" spans="1:14" s="17" customFormat="1" ht="15.75" customHeight="1">
      <c r="A57" s="15" t="s">
        <v>65</v>
      </c>
      <c r="B57" s="138">
        <v>3777</v>
      </c>
      <c r="C57" s="139">
        <v>1343263</v>
      </c>
      <c r="D57" s="138">
        <v>7885</v>
      </c>
      <c r="E57" s="139">
        <v>1859932</v>
      </c>
      <c r="F57" s="138">
        <v>11662</v>
      </c>
      <c r="G57" s="139">
        <v>3203195</v>
      </c>
      <c r="H57" s="138">
        <v>240</v>
      </c>
      <c r="I57" s="140">
        <v>61199</v>
      </c>
      <c r="J57" s="138">
        <v>643</v>
      </c>
      <c r="K57" s="140">
        <v>68606</v>
      </c>
      <c r="L57" s="138">
        <v>12154</v>
      </c>
      <c r="M57" s="140">
        <v>3210602</v>
      </c>
      <c r="N57" s="16" t="s">
        <v>142</v>
      </c>
    </row>
    <row r="58" spans="1:14" s="17" customFormat="1" ht="15.75" customHeight="1">
      <c r="A58" s="23"/>
      <c r="B58" s="141"/>
      <c r="C58" s="142"/>
      <c r="D58" s="141"/>
      <c r="E58" s="142"/>
      <c r="F58" s="143"/>
      <c r="G58" s="142"/>
      <c r="H58" s="143"/>
      <c r="I58" s="142"/>
      <c r="J58" s="143"/>
      <c r="K58" s="142"/>
      <c r="L58" s="143"/>
      <c r="M58" s="142"/>
      <c r="N58" s="24"/>
    </row>
    <row r="59" spans="1:14" s="17" customFormat="1" ht="15.75" customHeight="1">
      <c r="A59" s="11" t="s">
        <v>66</v>
      </c>
      <c r="B59" s="132">
        <f>_xlfn.COMPOUNDVALUE(169)</f>
        <v>862</v>
      </c>
      <c r="C59" s="133">
        <v>291565</v>
      </c>
      <c r="D59" s="132">
        <f>_xlfn.COMPOUNDVALUE(170)</f>
        <v>1652</v>
      </c>
      <c r="E59" s="133">
        <v>410922</v>
      </c>
      <c r="F59" s="132">
        <f>_xlfn.COMPOUNDVALUE(171)</f>
        <v>2514</v>
      </c>
      <c r="G59" s="133">
        <v>702487</v>
      </c>
      <c r="H59" s="132">
        <f>_xlfn.COMPOUNDVALUE(172)</f>
        <v>67</v>
      </c>
      <c r="I59" s="134">
        <v>20484</v>
      </c>
      <c r="J59" s="132">
        <v>219</v>
      </c>
      <c r="K59" s="134">
        <v>21019</v>
      </c>
      <c r="L59" s="132">
        <f>_xlfn.COMPOUNDVALUE(172)</f>
        <v>2682</v>
      </c>
      <c r="M59" s="134">
        <v>703021</v>
      </c>
      <c r="N59" s="25" t="s">
        <v>144</v>
      </c>
    </row>
    <row r="60" spans="1:14" s="17" customFormat="1" ht="15.75" customHeight="1">
      <c r="A60" s="11" t="s">
        <v>67</v>
      </c>
      <c r="B60" s="132">
        <f>_xlfn.COMPOUNDVALUE(173)</f>
        <v>503</v>
      </c>
      <c r="C60" s="133">
        <v>199086</v>
      </c>
      <c r="D60" s="132">
        <f>_xlfn.COMPOUNDVALUE(174)</f>
        <v>1200</v>
      </c>
      <c r="E60" s="133">
        <v>284832</v>
      </c>
      <c r="F60" s="132">
        <f>_xlfn.COMPOUNDVALUE(175)</f>
        <v>1703</v>
      </c>
      <c r="G60" s="133">
        <v>483918</v>
      </c>
      <c r="H60" s="132">
        <f>_xlfn.COMPOUNDVALUE(176)</f>
        <v>46</v>
      </c>
      <c r="I60" s="134">
        <v>16818</v>
      </c>
      <c r="J60" s="132">
        <v>120</v>
      </c>
      <c r="K60" s="134">
        <v>17034</v>
      </c>
      <c r="L60" s="132">
        <f>_xlfn.COMPOUNDVALUE(176)</f>
        <v>1786</v>
      </c>
      <c r="M60" s="134">
        <v>484134</v>
      </c>
      <c r="N60" s="12" t="s">
        <v>145</v>
      </c>
    </row>
    <row r="61" spans="1:14" s="17" customFormat="1" ht="15.75" customHeight="1">
      <c r="A61" s="11" t="s">
        <v>68</v>
      </c>
      <c r="B61" s="132">
        <f>_xlfn.COMPOUNDVALUE(177)</f>
        <v>976</v>
      </c>
      <c r="C61" s="133">
        <v>328214</v>
      </c>
      <c r="D61" s="132">
        <f>_xlfn.COMPOUNDVALUE(178)</f>
        <v>1639</v>
      </c>
      <c r="E61" s="133">
        <v>426593</v>
      </c>
      <c r="F61" s="132">
        <f>_xlfn.COMPOUNDVALUE(179)</f>
        <v>2615</v>
      </c>
      <c r="G61" s="133">
        <v>754806</v>
      </c>
      <c r="H61" s="132">
        <f>_xlfn.COMPOUNDVALUE(180)</f>
        <v>96</v>
      </c>
      <c r="I61" s="134">
        <v>78138</v>
      </c>
      <c r="J61" s="132">
        <v>200</v>
      </c>
      <c r="K61" s="134">
        <v>35187</v>
      </c>
      <c r="L61" s="132">
        <f>_xlfn.COMPOUNDVALUE(180)</f>
        <v>2824</v>
      </c>
      <c r="M61" s="134">
        <v>711856</v>
      </c>
      <c r="N61" s="12" t="s">
        <v>146</v>
      </c>
    </row>
    <row r="62" spans="1:14" s="17" customFormat="1" ht="15.75" customHeight="1">
      <c r="A62" s="13" t="s">
        <v>69</v>
      </c>
      <c r="B62" s="135">
        <f>_xlfn.COMPOUNDVALUE(181)</f>
        <v>836</v>
      </c>
      <c r="C62" s="136">
        <v>317682</v>
      </c>
      <c r="D62" s="135">
        <f>_xlfn.COMPOUNDVALUE(182)</f>
        <v>1354</v>
      </c>
      <c r="E62" s="136">
        <v>378833</v>
      </c>
      <c r="F62" s="135">
        <f>_xlfn.COMPOUNDVALUE(183)</f>
        <v>2190</v>
      </c>
      <c r="G62" s="136">
        <v>696514</v>
      </c>
      <c r="H62" s="135">
        <f>_xlfn.COMPOUNDVALUE(184)</f>
        <v>61</v>
      </c>
      <c r="I62" s="137">
        <v>17699</v>
      </c>
      <c r="J62" s="135">
        <v>171</v>
      </c>
      <c r="K62" s="137">
        <v>33420</v>
      </c>
      <c r="L62" s="135">
        <f>_xlfn.COMPOUNDVALUE(184)</f>
        <v>2313</v>
      </c>
      <c r="M62" s="137">
        <v>712235</v>
      </c>
      <c r="N62" s="14" t="s">
        <v>69</v>
      </c>
    </row>
    <row r="63" spans="1:14" s="17" customFormat="1" ht="15.75" customHeight="1">
      <c r="A63" s="13" t="s">
        <v>70</v>
      </c>
      <c r="B63" s="135">
        <f>_xlfn.COMPOUNDVALUE(185)</f>
        <v>484</v>
      </c>
      <c r="C63" s="136">
        <v>160515</v>
      </c>
      <c r="D63" s="135">
        <f>_xlfn.COMPOUNDVALUE(186)</f>
        <v>921</v>
      </c>
      <c r="E63" s="136">
        <v>226918</v>
      </c>
      <c r="F63" s="135">
        <f>_xlfn.COMPOUNDVALUE(187)</f>
        <v>1405</v>
      </c>
      <c r="G63" s="136">
        <v>387433</v>
      </c>
      <c r="H63" s="135">
        <f>_xlfn.COMPOUNDVALUE(188)</f>
        <v>68</v>
      </c>
      <c r="I63" s="137">
        <v>24541</v>
      </c>
      <c r="J63" s="135">
        <v>86</v>
      </c>
      <c r="K63" s="137">
        <v>-10075</v>
      </c>
      <c r="L63" s="135">
        <f>_xlfn.COMPOUNDVALUE(188)</f>
        <v>1498</v>
      </c>
      <c r="M63" s="137">
        <v>352817</v>
      </c>
      <c r="N63" s="14" t="s">
        <v>147</v>
      </c>
    </row>
    <row r="64" spans="1:14" s="17" customFormat="1" ht="15.75" customHeight="1">
      <c r="A64" s="13" t="s">
        <v>71</v>
      </c>
      <c r="B64" s="135">
        <f>_xlfn.COMPOUNDVALUE(189)</f>
        <v>382</v>
      </c>
      <c r="C64" s="136">
        <v>107441</v>
      </c>
      <c r="D64" s="135">
        <f>_xlfn.COMPOUNDVALUE(190)</f>
        <v>754</v>
      </c>
      <c r="E64" s="136">
        <v>172064</v>
      </c>
      <c r="F64" s="135">
        <f>_xlfn.COMPOUNDVALUE(191)</f>
        <v>1136</v>
      </c>
      <c r="G64" s="136">
        <v>279506</v>
      </c>
      <c r="H64" s="135">
        <f>_xlfn.COMPOUNDVALUE(192)</f>
        <v>45</v>
      </c>
      <c r="I64" s="137">
        <v>11367</v>
      </c>
      <c r="J64" s="135">
        <v>141</v>
      </c>
      <c r="K64" s="137">
        <v>9940</v>
      </c>
      <c r="L64" s="135">
        <f>_xlfn.COMPOUNDVALUE(192)</f>
        <v>1227</v>
      </c>
      <c r="M64" s="137">
        <v>278079</v>
      </c>
      <c r="N64" s="14" t="s">
        <v>148</v>
      </c>
    </row>
    <row r="65" spans="1:14" s="17" customFormat="1" ht="15.75" customHeight="1">
      <c r="A65" s="13" t="s">
        <v>72</v>
      </c>
      <c r="B65" s="135">
        <f>_xlfn.COMPOUNDVALUE(193)</f>
        <v>185</v>
      </c>
      <c r="C65" s="136">
        <v>47269</v>
      </c>
      <c r="D65" s="135">
        <f>_xlfn.COMPOUNDVALUE(194)</f>
        <v>379</v>
      </c>
      <c r="E65" s="136">
        <v>83444</v>
      </c>
      <c r="F65" s="135">
        <f>_xlfn.COMPOUNDVALUE(195)</f>
        <v>564</v>
      </c>
      <c r="G65" s="136">
        <v>130713</v>
      </c>
      <c r="H65" s="135">
        <f>_xlfn.COMPOUNDVALUE(196)</f>
        <v>26</v>
      </c>
      <c r="I65" s="137">
        <v>4162</v>
      </c>
      <c r="J65" s="135">
        <v>33</v>
      </c>
      <c r="K65" s="137">
        <v>1743</v>
      </c>
      <c r="L65" s="135">
        <f>_xlfn.COMPOUNDVALUE(196)</f>
        <v>602</v>
      </c>
      <c r="M65" s="137">
        <v>128293</v>
      </c>
      <c r="N65" s="14" t="s">
        <v>149</v>
      </c>
    </row>
    <row r="66" spans="1:14" s="17" customFormat="1" ht="15.75" customHeight="1">
      <c r="A66" s="13" t="s">
        <v>73</v>
      </c>
      <c r="B66" s="135">
        <f>_xlfn.COMPOUNDVALUE(197)</f>
        <v>264</v>
      </c>
      <c r="C66" s="136">
        <v>122512</v>
      </c>
      <c r="D66" s="135">
        <f>_xlfn.COMPOUNDVALUE(198)</f>
        <v>455</v>
      </c>
      <c r="E66" s="136">
        <v>133274</v>
      </c>
      <c r="F66" s="135">
        <f>_xlfn.COMPOUNDVALUE(199)</f>
        <v>719</v>
      </c>
      <c r="G66" s="136">
        <v>255785</v>
      </c>
      <c r="H66" s="135">
        <f>_xlfn.COMPOUNDVALUE(200)</f>
        <v>83</v>
      </c>
      <c r="I66" s="137">
        <v>34637</v>
      </c>
      <c r="J66" s="135">
        <v>56</v>
      </c>
      <c r="K66" s="137">
        <v>-2690</v>
      </c>
      <c r="L66" s="135">
        <f>_xlfn.COMPOUNDVALUE(200)</f>
        <v>827</v>
      </c>
      <c r="M66" s="137">
        <v>218459</v>
      </c>
      <c r="N66" s="14" t="s">
        <v>150</v>
      </c>
    </row>
    <row r="67" spans="1:14" s="17" customFormat="1" ht="15.75" customHeight="1">
      <c r="A67" s="13" t="s">
        <v>74</v>
      </c>
      <c r="B67" s="135">
        <f>_xlfn.COMPOUNDVALUE(201)</f>
        <v>263</v>
      </c>
      <c r="C67" s="136">
        <v>90225</v>
      </c>
      <c r="D67" s="135">
        <f>_xlfn.COMPOUNDVALUE(202)</f>
        <v>499</v>
      </c>
      <c r="E67" s="136">
        <v>114836</v>
      </c>
      <c r="F67" s="135">
        <f>_xlfn.COMPOUNDVALUE(203)</f>
        <v>762</v>
      </c>
      <c r="G67" s="136">
        <v>205060</v>
      </c>
      <c r="H67" s="135">
        <f>_xlfn.COMPOUNDVALUE(204)</f>
        <v>49</v>
      </c>
      <c r="I67" s="137">
        <v>16165</v>
      </c>
      <c r="J67" s="135">
        <v>46</v>
      </c>
      <c r="K67" s="137">
        <v>11220</v>
      </c>
      <c r="L67" s="135">
        <f>_xlfn.COMPOUNDVALUE(204)</f>
        <v>841</v>
      </c>
      <c r="M67" s="137">
        <v>200115</v>
      </c>
      <c r="N67" s="14" t="s">
        <v>151</v>
      </c>
    </row>
    <row r="68" spans="1:14" s="17" customFormat="1" ht="15.75" customHeight="1">
      <c r="A68" s="13" t="s">
        <v>75</v>
      </c>
      <c r="B68" s="135">
        <f>_xlfn.COMPOUNDVALUE(205)</f>
        <v>119</v>
      </c>
      <c r="C68" s="136">
        <v>44338</v>
      </c>
      <c r="D68" s="135">
        <f>_xlfn.COMPOUNDVALUE(206)</f>
        <v>211</v>
      </c>
      <c r="E68" s="136">
        <v>49694</v>
      </c>
      <c r="F68" s="135">
        <f>_xlfn.COMPOUNDVALUE(207)</f>
        <v>330</v>
      </c>
      <c r="G68" s="136">
        <v>94032</v>
      </c>
      <c r="H68" s="135">
        <f>_xlfn.COMPOUNDVALUE(208)</f>
        <v>9</v>
      </c>
      <c r="I68" s="137">
        <v>3027</v>
      </c>
      <c r="J68" s="135">
        <v>10</v>
      </c>
      <c r="K68" s="137">
        <v>-283</v>
      </c>
      <c r="L68" s="135">
        <f>_xlfn.COMPOUNDVALUE(208)</f>
        <v>343</v>
      </c>
      <c r="M68" s="137">
        <v>90722</v>
      </c>
      <c r="N68" s="14" t="s">
        <v>152</v>
      </c>
    </row>
    <row r="69" spans="1:14" s="17" customFormat="1" ht="15.75" customHeight="1">
      <c r="A69" s="15" t="s">
        <v>76</v>
      </c>
      <c r="B69" s="138">
        <v>4874</v>
      </c>
      <c r="C69" s="139">
        <v>1708846</v>
      </c>
      <c r="D69" s="138">
        <v>9064</v>
      </c>
      <c r="E69" s="139">
        <v>2281409</v>
      </c>
      <c r="F69" s="138">
        <v>13938</v>
      </c>
      <c r="G69" s="139">
        <v>3990255</v>
      </c>
      <c r="H69" s="138">
        <v>550</v>
      </c>
      <c r="I69" s="140">
        <v>227037</v>
      </c>
      <c r="J69" s="138">
        <v>1082</v>
      </c>
      <c r="K69" s="140">
        <v>116514</v>
      </c>
      <c r="L69" s="138">
        <v>14943</v>
      </c>
      <c r="M69" s="140">
        <v>3879731</v>
      </c>
      <c r="N69" s="16" t="s">
        <v>153</v>
      </c>
    </row>
    <row r="70" spans="1:15" s="17" customFormat="1" ht="15.75" customHeight="1" thickBot="1">
      <c r="A70" s="18"/>
      <c r="B70" s="147"/>
      <c r="C70" s="148"/>
      <c r="D70" s="147"/>
      <c r="E70" s="148"/>
      <c r="F70" s="149"/>
      <c r="G70" s="148"/>
      <c r="H70" s="149"/>
      <c r="I70" s="148"/>
      <c r="J70" s="149"/>
      <c r="K70" s="148"/>
      <c r="L70" s="149"/>
      <c r="M70" s="148"/>
      <c r="N70" s="19"/>
      <c r="O70" s="37"/>
    </row>
    <row r="71" spans="1:14" s="17" customFormat="1" ht="15.75" customHeight="1" thickBot="1" thickTop="1">
      <c r="A71" s="21" t="s">
        <v>18</v>
      </c>
      <c r="B71" s="150">
        <v>27695</v>
      </c>
      <c r="C71" s="151">
        <v>10366675</v>
      </c>
      <c r="D71" s="150">
        <v>48343</v>
      </c>
      <c r="E71" s="151">
        <v>12185109</v>
      </c>
      <c r="F71" s="150">
        <v>76038</v>
      </c>
      <c r="G71" s="151">
        <v>22551783</v>
      </c>
      <c r="H71" s="150">
        <v>2459</v>
      </c>
      <c r="I71" s="152">
        <v>876644</v>
      </c>
      <c r="J71" s="150">
        <v>5334</v>
      </c>
      <c r="K71" s="152">
        <v>584949</v>
      </c>
      <c r="L71" s="150">
        <v>80610</v>
      </c>
      <c r="M71" s="152">
        <v>22260088</v>
      </c>
      <c r="N71" s="22" t="s">
        <v>96</v>
      </c>
    </row>
    <row r="72" spans="1:14" ht="13.5">
      <c r="A72" s="249" t="s">
        <v>249</v>
      </c>
      <c r="B72" s="249"/>
      <c r="C72" s="249"/>
      <c r="D72" s="249"/>
      <c r="E72" s="249"/>
      <c r="F72" s="249"/>
      <c r="G72" s="249"/>
      <c r="H72" s="249"/>
      <c r="I72" s="249"/>
      <c r="J72" s="26"/>
      <c r="K72" s="26"/>
      <c r="L72" s="2"/>
      <c r="M72" s="2"/>
      <c r="N72" s="2"/>
    </row>
    <row r="74" spans="2:10" ht="13.5">
      <c r="B74" s="27"/>
      <c r="C74" s="27"/>
      <c r="D74" s="27"/>
      <c r="E74" s="27"/>
      <c r="F74" s="27"/>
      <c r="G74" s="27"/>
      <c r="H74" s="27"/>
      <c r="J74" s="27"/>
    </row>
    <row r="75" spans="2:10" ht="13.5">
      <c r="B75" s="27"/>
      <c r="C75" s="27"/>
      <c r="D75" s="27"/>
      <c r="E75" s="27"/>
      <c r="F75" s="27"/>
      <c r="G75" s="27"/>
      <c r="H75" s="27"/>
      <c r="J75" s="27"/>
    </row>
    <row r="76" spans="2:10" ht="13.5">
      <c r="B76" s="27"/>
      <c r="C76" s="27"/>
      <c r="D76" s="27"/>
      <c r="E76" s="27"/>
      <c r="F76" s="27"/>
      <c r="G76" s="27"/>
      <c r="H76" s="27"/>
      <c r="J76" s="27"/>
    </row>
    <row r="77" spans="2:10" ht="13.5">
      <c r="B77" s="27"/>
      <c r="C77" s="27"/>
      <c r="D77" s="27"/>
      <c r="E77" s="27"/>
      <c r="F77" s="27"/>
      <c r="G77" s="27"/>
      <c r="H77" s="27"/>
      <c r="J77" s="27"/>
    </row>
    <row r="78" spans="2:10" ht="13.5">
      <c r="B78" s="27"/>
      <c r="C78" s="27"/>
      <c r="D78" s="27"/>
      <c r="E78" s="27"/>
      <c r="F78" s="27"/>
      <c r="G78" s="27"/>
      <c r="H78" s="27"/>
      <c r="J78" s="27"/>
    </row>
    <row r="79" spans="2:10" ht="13.5">
      <c r="B79" s="27"/>
      <c r="C79" s="27"/>
      <c r="D79" s="27"/>
      <c r="E79" s="27"/>
      <c r="F79" s="27"/>
      <c r="G79" s="27"/>
      <c r="H79" s="27"/>
      <c r="J79" s="27"/>
    </row>
    <row r="80" spans="2:10" ht="13.5">
      <c r="B80" s="27"/>
      <c r="C80" s="27"/>
      <c r="D80" s="27"/>
      <c r="E80" s="27"/>
      <c r="F80" s="27"/>
      <c r="G80" s="27"/>
      <c r="H80" s="27"/>
      <c r="J80" s="27"/>
    </row>
    <row r="81" spans="2:10" ht="13.5">
      <c r="B81" s="27"/>
      <c r="C81" s="27"/>
      <c r="D81" s="27"/>
      <c r="E81" s="27"/>
      <c r="F81" s="27"/>
      <c r="G81" s="27"/>
      <c r="H81" s="27"/>
      <c r="J81" s="27"/>
    </row>
    <row r="82" spans="2:10" ht="13.5">
      <c r="B82" s="27"/>
      <c r="C82" s="27"/>
      <c r="D82" s="27"/>
      <c r="E82" s="27"/>
      <c r="F82" s="27"/>
      <c r="G82" s="27"/>
      <c r="H82" s="27"/>
      <c r="J82" s="27"/>
    </row>
    <row r="83" spans="2:10" ht="13.5">
      <c r="B83" s="27"/>
      <c r="C83" s="27"/>
      <c r="D83" s="27"/>
      <c r="E83" s="27"/>
      <c r="F83" s="27"/>
      <c r="G83" s="27"/>
      <c r="H83" s="27"/>
      <c r="J83" s="27"/>
    </row>
    <row r="84" spans="2:10" ht="13.5">
      <c r="B84" s="27"/>
      <c r="C84" s="27"/>
      <c r="D84" s="27"/>
      <c r="E84" s="27"/>
      <c r="F84" s="27"/>
      <c r="G84" s="27"/>
      <c r="H84" s="27"/>
      <c r="J84" s="27"/>
    </row>
    <row r="85" spans="2:10" ht="13.5">
      <c r="B85" s="27"/>
      <c r="C85" s="27"/>
      <c r="D85" s="27"/>
      <c r="E85" s="27"/>
      <c r="F85" s="27"/>
      <c r="G85" s="27"/>
      <c r="H85" s="27"/>
      <c r="J85" s="27"/>
    </row>
    <row r="86" spans="2:10" ht="13.5">
      <c r="B86" s="27"/>
      <c r="C86" s="27"/>
      <c r="D86" s="27"/>
      <c r="E86" s="27"/>
      <c r="F86" s="27"/>
      <c r="G86" s="27"/>
      <c r="H86" s="27"/>
      <c r="J86" s="27"/>
    </row>
  </sheetData>
  <sheetProtection/>
  <mergeCells count="11">
    <mergeCell ref="A72:I72"/>
    <mergeCell ref="A2:G2"/>
    <mergeCell ref="A3:A5"/>
    <mergeCell ref="B3:G3"/>
    <mergeCell ref="H3:I4"/>
    <mergeCell ref="N3:N5"/>
    <mergeCell ref="B4:C4"/>
    <mergeCell ref="D4:E4"/>
    <mergeCell ref="F4:G4"/>
    <mergeCell ref="J3:K4"/>
    <mergeCell ref="L3:M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(H25)</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zoomScalePageLayoutView="0" workbookViewId="0" topLeftCell="A67">
      <selection activeCell="F79" sqref="F79"/>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77</v>
      </c>
      <c r="B1" s="1"/>
      <c r="C1" s="1"/>
      <c r="D1" s="1"/>
      <c r="E1" s="1"/>
      <c r="F1" s="1"/>
      <c r="G1" s="1"/>
      <c r="H1" s="1"/>
      <c r="I1" s="1"/>
      <c r="J1" s="1"/>
      <c r="K1" s="1"/>
      <c r="L1" s="2"/>
      <c r="M1" s="2"/>
    </row>
    <row r="2" spans="1:13" ht="14.25" thickBot="1">
      <c r="A2" s="233" t="s">
        <v>78</v>
      </c>
      <c r="B2" s="233"/>
      <c r="C2" s="233"/>
      <c r="D2" s="233"/>
      <c r="E2" s="233"/>
      <c r="F2" s="233"/>
      <c r="G2" s="233"/>
      <c r="H2" s="233"/>
      <c r="I2" s="233"/>
      <c r="J2" s="26"/>
      <c r="K2" s="26"/>
      <c r="L2" s="2"/>
      <c r="M2" s="2"/>
    </row>
    <row r="3" spans="1:14" ht="19.5" customHeight="1">
      <c r="A3" s="229" t="s">
        <v>2</v>
      </c>
      <c r="B3" s="232" t="s">
        <v>3</v>
      </c>
      <c r="C3" s="232"/>
      <c r="D3" s="232"/>
      <c r="E3" s="232"/>
      <c r="F3" s="232"/>
      <c r="G3" s="232"/>
      <c r="H3" s="228" t="s">
        <v>4</v>
      </c>
      <c r="I3" s="226"/>
      <c r="J3" s="225" t="s">
        <v>5</v>
      </c>
      <c r="K3" s="226"/>
      <c r="L3" s="228" t="s">
        <v>6</v>
      </c>
      <c r="M3" s="226"/>
      <c r="N3" s="219" t="s">
        <v>79</v>
      </c>
    </row>
    <row r="4" spans="1:14" ht="17.25" customHeight="1">
      <c r="A4" s="230"/>
      <c r="B4" s="223" t="s">
        <v>8</v>
      </c>
      <c r="C4" s="224"/>
      <c r="D4" s="223" t="s">
        <v>9</v>
      </c>
      <c r="E4" s="224"/>
      <c r="F4" s="223" t="s">
        <v>10</v>
      </c>
      <c r="G4" s="224"/>
      <c r="H4" s="223"/>
      <c r="I4" s="227"/>
      <c r="J4" s="223"/>
      <c r="K4" s="227"/>
      <c r="L4" s="223"/>
      <c r="M4" s="227"/>
      <c r="N4" s="220"/>
    </row>
    <row r="5" spans="1:14" ht="28.5" customHeight="1">
      <c r="A5" s="231"/>
      <c r="B5" s="34" t="s">
        <v>11</v>
      </c>
      <c r="C5" s="35" t="s">
        <v>12</v>
      </c>
      <c r="D5" s="34" t="s">
        <v>11</v>
      </c>
      <c r="E5" s="35" t="s">
        <v>12</v>
      </c>
      <c r="F5" s="34" t="s">
        <v>11</v>
      </c>
      <c r="G5" s="39" t="s">
        <v>13</v>
      </c>
      <c r="H5" s="34" t="s">
        <v>93</v>
      </c>
      <c r="I5" s="38" t="s">
        <v>14</v>
      </c>
      <c r="J5" s="34" t="s">
        <v>93</v>
      </c>
      <c r="K5" s="38" t="s">
        <v>15</v>
      </c>
      <c r="L5" s="34" t="s">
        <v>93</v>
      </c>
      <c r="M5" s="36" t="s">
        <v>94</v>
      </c>
      <c r="N5" s="221"/>
    </row>
    <row r="6" spans="1:14" s="28"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80</v>
      </c>
      <c r="B7" s="132">
        <f>_xlfn.COMPOUNDVALUE(209)</f>
        <v>2474</v>
      </c>
      <c r="C7" s="133">
        <v>10506683</v>
      </c>
      <c r="D7" s="132">
        <f>_xlfn.COMPOUNDVALUE(210)</f>
        <v>984</v>
      </c>
      <c r="E7" s="133">
        <v>428585</v>
      </c>
      <c r="F7" s="132">
        <f>_xlfn.COMPOUNDVALUE(211)</f>
        <v>3458</v>
      </c>
      <c r="G7" s="133">
        <v>10935268</v>
      </c>
      <c r="H7" s="132">
        <f>_xlfn.COMPOUNDVALUE(212)</f>
        <v>114</v>
      </c>
      <c r="I7" s="134">
        <v>308775</v>
      </c>
      <c r="J7" s="132">
        <v>226</v>
      </c>
      <c r="K7" s="134">
        <v>114558</v>
      </c>
      <c r="L7" s="132">
        <f>_xlfn.COMPOUNDVALUE(212)</f>
        <v>3612</v>
      </c>
      <c r="M7" s="134">
        <v>10741052</v>
      </c>
      <c r="N7" s="12" t="s">
        <v>98</v>
      </c>
    </row>
    <row r="8" spans="1:14" ht="15.75" customHeight="1">
      <c r="A8" s="13" t="s">
        <v>81</v>
      </c>
      <c r="B8" s="135">
        <f>_xlfn.COMPOUNDVALUE(213)</f>
        <v>1452</v>
      </c>
      <c r="C8" s="136">
        <v>5471815</v>
      </c>
      <c r="D8" s="135">
        <f>_xlfn.COMPOUNDVALUE(214)</f>
        <v>608</v>
      </c>
      <c r="E8" s="136">
        <v>238597</v>
      </c>
      <c r="F8" s="135">
        <f>_xlfn.COMPOUNDVALUE(215)</f>
        <v>2060</v>
      </c>
      <c r="G8" s="136">
        <v>5710411</v>
      </c>
      <c r="H8" s="135">
        <f>_xlfn.COMPOUNDVALUE(216)</f>
        <v>59</v>
      </c>
      <c r="I8" s="137">
        <v>324024</v>
      </c>
      <c r="J8" s="135">
        <v>104</v>
      </c>
      <c r="K8" s="137">
        <v>12444</v>
      </c>
      <c r="L8" s="135">
        <f>_xlfn.COMPOUNDVALUE(216)</f>
        <v>2140</v>
      </c>
      <c r="M8" s="137">
        <v>5398831</v>
      </c>
      <c r="N8" s="14" t="s">
        <v>99</v>
      </c>
    </row>
    <row r="9" spans="1:14" ht="15.75" customHeight="1">
      <c r="A9" s="13" t="s">
        <v>82</v>
      </c>
      <c r="B9" s="135">
        <f>_xlfn.COMPOUNDVALUE(217)</f>
        <v>2716</v>
      </c>
      <c r="C9" s="136">
        <v>11609893</v>
      </c>
      <c r="D9" s="135">
        <f>_xlfn.COMPOUNDVALUE(218)</f>
        <v>1123</v>
      </c>
      <c r="E9" s="136">
        <v>435777</v>
      </c>
      <c r="F9" s="135">
        <f>_xlfn.COMPOUNDVALUE(219)</f>
        <v>3839</v>
      </c>
      <c r="G9" s="136">
        <v>12045670</v>
      </c>
      <c r="H9" s="135">
        <f>_xlfn.COMPOUNDVALUE(220)</f>
        <v>187</v>
      </c>
      <c r="I9" s="137">
        <v>1609513</v>
      </c>
      <c r="J9" s="135">
        <v>116</v>
      </c>
      <c r="K9" s="137">
        <v>21672</v>
      </c>
      <c r="L9" s="135">
        <f>_xlfn.COMPOUNDVALUE(220)</f>
        <v>4039</v>
      </c>
      <c r="M9" s="137">
        <v>10457829</v>
      </c>
      <c r="N9" s="14" t="s">
        <v>100</v>
      </c>
    </row>
    <row r="10" spans="1:14" ht="15.75" customHeight="1">
      <c r="A10" s="13" t="s">
        <v>83</v>
      </c>
      <c r="B10" s="135">
        <f>_xlfn.COMPOUNDVALUE(221)</f>
        <v>508</v>
      </c>
      <c r="C10" s="136">
        <v>1833795</v>
      </c>
      <c r="D10" s="135">
        <f>_xlfn.COMPOUNDVALUE(222)</f>
        <v>200</v>
      </c>
      <c r="E10" s="136">
        <v>81332</v>
      </c>
      <c r="F10" s="135">
        <f>_xlfn.COMPOUNDVALUE(223)</f>
        <v>708</v>
      </c>
      <c r="G10" s="136">
        <v>1915126</v>
      </c>
      <c r="H10" s="135">
        <f>_xlfn.COMPOUNDVALUE(224)</f>
        <v>19</v>
      </c>
      <c r="I10" s="137">
        <v>12845</v>
      </c>
      <c r="J10" s="135">
        <v>51</v>
      </c>
      <c r="K10" s="137">
        <v>105</v>
      </c>
      <c r="L10" s="135">
        <f>_xlfn.COMPOUNDVALUE(224)</f>
        <v>737</v>
      </c>
      <c r="M10" s="137">
        <v>1902386</v>
      </c>
      <c r="N10" s="14" t="s">
        <v>101</v>
      </c>
    </row>
    <row r="11" spans="1:14" ht="15.75" customHeight="1">
      <c r="A11" s="13" t="s">
        <v>84</v>
      </c>
      <c r="B11" s="135">
        <f>_xlfn.COMPOUNDVALUE(225)</f>
        <v>1037</v>
      </c>
      <c r="C11" s="136">
        <v>2424016</v>
      </c>
      <c r="D11" s="135">
        <f>_xlfn.COMPOUNDVALUE(226)</f>
        <v>425</v>
      </c>
      <c r="E11" s="136">
        <v>167261</v>
      </c>
      <c r="F11" s="135">
        <f>_xlfn.COMPOUNDVALUE(227)</f>
        <v>1462</v>
      </c>
      <c r="G11" s="136">
        <v>2591276</v>
      </c>
      <c r="H11" s="135">
        <f>_xlfn.COMPOUNDVALUE(228)</f>
        <v>42</v>
      </c>
      <c r="I11" s="137">
        <v>100821</v>
      </c>
      <c r="J11" s="135">
        <v>87</v>
      </c>
      <c r="K11" s="137">
        <v>2490</v>
      </c>
      <c r="L11" s="135">
        <f>_xlfn.COMPOUNDVALUE(228)</f>
        <v>1521</v>
      </c>
      <c r="M11" s="137">
        <v>2492945</v>
      </c>
      <c r="N11" s="14" t="s">
        <v>102</v>
      </c>
    </row>
    <row r="12" spans="1:14" ht="15.75" customHeight="1">
      <c r="A12" s="13" t="s">
        <v>85</v>
      </c>
      <c r="B12" s="135">
        <f>_xlfn.COMPOUNDVALUE(229)</f>
        <v>1717</v>
      </c>
      <c r="C12" s="136">
        <v>12836289</v>
      </c>
      <c r="D12" s="135">
        <f>_xlfn.COMPOUNDVALUE(230)</f>
        <v>693</v>
      </c>
      <c r="E12" s="136">
        <v>284228</v>
      </c>
      <c r="F12" s="135">
        <f>_xlfn.COMPOUNDVALUE(231)</f>
        <v>2410</v>
      </c>
      <c r="G12" s="136">
        <v>13120518</v>
      </c>
      <c r="H12" s="135">
        <f>_xlfn.COMPOUNDVALUE(232)</f>
        <v>97</v>
      </c>
      <c r="I12" s="137">
        <v>449382</v>
      </c>
      <c r="J12" s="135">
        <v>79</v>
      </c>
      <c r="K12" s="137">
        <v>-13319</v>
      </c>
      <c r="L12" s="135">
        <f>_xlfn.COMPOUNDVALUE(232)</f>
        <v>2523</v>
      </c>
      <c r="M12" s="137">
        <v>12657816</v>
      </c>
      <c r="N12" s="14" t="s">
        <v>103</v>
      </c>
    </row>
    <row r="13" spans="1:14" s="17" customFormat="1" ht="15.75" customHeight="1">
      <c r="A13" s="13" t="s">
        <v>25</v>
      </c>
      <c r="B13" s="135">
        <f>_xlfn.COMPOUNDVALUE(233)</f>
        <v>573</v>
      </c>
      <c r="C13" s="136">
        <v>1737319</v>
      </c>
      <c r="D13" s="135">
        <f>_xlfn.COMPOUNDVALUE(234)</f>
        <v>204</v>
      </c>
      <c r="E13" s="136">
        <v>82086</v>
      </c>
      <c r="F13" s="135">
        <f>_xlfn.COMPOUNDVALUE(235)</f>
        <v>777</v>
      </c>
      <c r="G13" s="136">
        <v>1819405</v>
      </c>
      <c r="H13" s="135">
        <f>_xlfn.COMPOUNDVALUE(236)</f>
        <v>22</v>
      </c>
      <c r="I13" s="137">
        <v>1215480</v>
      </c>
      <c r="J13" s="135">
        <v>55</v>
      </c>
      <c r="K13" s="137">
        <v>11846</v>
      </c>
      <c r="L13" s="135">
        <f>_xlfn.COMPOUNDVALUE(236)</f>
        <v>814</v>
      </c>
      <c r="M13" s="137">
        <v>615771</v>
      </c>
      <c r="N13" s="14" t="s">
        <v>25</v>
      </c>
    </row>
    <row r="14" spans="1:14" s="29" customFormat="1" ht="15.75" customHeight="1">
      <c r="A14" s="15" t="s">
        <v>198</v>
      </c>
      <c r="B14" s="138">
        <v>10477</v>
      </c>
      <c r="C14" s="139">
        <v>46419809</v>
      </c>
      <c r="D14" s="138">
        <v>4237</v>
      </c>
      <c r="E14" s="139">
        <v>1717865</v>
      </c>
      <c r="F14" s="138">
        <v>14714</v>
      </c>
      <c r="G14" s="139">
        <v>48137674</v>
      </c>
      <c r="H14" s="138">
        <v>540</v>
      </c>
      <c r="I14" s="140">
        <v>4020840</v>
      </c>
      <c r="J14" s="138">
        <v>718</v>
      </c>
      <c r="K14" s="140">
        <v>149796</v>
      </c>
      <c r="L14" s="138">
        <v>15386</v>
      </c>
      <c r="M14" s="140">
        <v>44266631</v>
      </c>
      <c r="N14" s="16" t="s">
        <v>97</v>
      </c>
    </row>
    <row r="15" spans="1:14" s="17" customFormat="1" ht="15.75" customHeight="1">
      <c r="A15" s="23"/>
      <c r="B15" s="141"/>
      <c r="C15" s="142"/>
      <c r="D15" s="141"/>
      <c r="E15" s="142"/>
      <c r="F15" s="143"/>
      <c r="G15" s="142"/>
      <c r="H15" s="143"/>
      <c r="I15" s="142"/>
      <c r="J15" s="143"/>
      <c r="K15" s="142"/>
      <c r="L15" s="143"/>
      <c r="M15" s="142"/>
      <c r="N15" s="24"/>
    </row>
    <row r="16" spans="1:14" ht="15.75" customHeight="1">
      <c r="A16" s="11" t="s">
        <v>199</v>
      </c>
      <c r="B16" s="132">
        <f>_xlfn.COMPOUNDVALUE(237)</f>
        <v>3682</v>
      </c>
      <c r="C16" s="133">
        <v>18580890</v>
      </c>
      <c r="D16" s="132">
        <f>_xlfn.COMPOUNDVALUE(238)</f>
        <v>1592</v>
      </c>
      <c r="E16" s="133">
        <v>681007</v>
      </c>
      <c r="F16" s="132">
        <f>_xlfn.COMPOUNDVALUE(239)</f>
        <v>5274</v>
      </c>
      <c r="G16" s="133">
        <v>19261897</v>
      </c>
      <c r="H16" s="132">
        <f>_xlfn.COMPOUNDVALUE(240)</f>
        <v>185</v>
      </c>
      <c r="I16" s="134">
        <v>645214</v>
      </c>
      <c r="J16" s="132">
        <v>222</v>
      </c>
      <c r="K16" s="134">
        <v>23230</v>
      </c>
      <c r="L16" s="132">
        <f>_xlfn.COMPOUNDVALUE(240)</f>
        <v>5509</v>
      </c>
      <c r="M16" s="134">
        <v>18639913</v>
      </c>
      <c r="N16" s="25" t="s">
        <v>104</v>
      </c>
    </row>
    <row r="17" spans="1:14" ht="15.75" customHeight="1">
      <c r="A17" s="13" t="s">
        <v>200</v>
      </c>
      <c r="B17" s="135">
        <f>_xlfn.COMPOUNDVALUE(241)</f>
        <v>561</v>
      </c>
      <c r="C17" s="136">
        <v>1910305</v>
      </c>
      <c r="D17" s="135">
        <f>_xlfn.COMPOUNDVALUE(242)</f>
        <v>221</v>
      </c>
      <c r="E17" s="136">
        <v>105831</v>
      </c>
      <c r="F17" s="135">
        <f>_xlfn.COMPOUNDVALUE(243)</f>
        <v>782</v>
      </c>
      <c r="G17" s="136">
        <v>2016137</v>
      </c>
      <c r="H17" s="135">
        <f>_xlfn.COMPOUNDVALUE(244)</f>
        <v>67</v>
      </c>
      <c r="I17" s="137">
        <v>998044</v>
      </c>
      <c r="J17" s="135">
        <v>24</v>
      </c>
      <c r="K17" s="137">
        <v>17464</v>
      </c>
      <c r="L17" s="135">
        <f>_xlfn.COMPOUNDVALUE(244)</f>
        <v>862</v>
      </c>
      <c r="M17" s="137">
        <v>1035557</v>
      </c>
      <c r="N17" s="14" t="s">
        <v>105</v>
      </c>
    </row>
    <row r="18" spans="1:14" ht="15.75" customHeight="1">
      <c r="A18" s="13" t="s">
        <v>201</v>
      </c>
      <c r="B18" s="135">
        <f>_xlfn.COMPOUNDVALUE(245)</f>
        <v>427</v>
      </c>
      <c r="C18" s="136">
        <v>2257370</v>
      </c>
      <c r="D18" s="135">
        <f>_xlfn.COMPOUNDVALUE(246)</f>
        <v>164</v>
      </c>
      <c r="E18" s="136">
        <v>88642</v>
      </c>
      <c r="F18" s="135">
        <f>_xlfn.COMPOUNDVALUE(247)</f>
        <v>591</v>
      </c>
      <c r="G18" s="136">
        <v>2346012</v>
      </c>
      <c r="H18" s="135">
        <f>_xlfn.COMPOUNDVALUE(248)</f>
        <v>70</v>
      </c>
      <c r="I18" s="137">
        <v>801403</v>
      </c>
      <c r="J18" s="135">
        <v>27</v>
      </c>
      <c r="K18" s="137">
        <v>3393</v>
      </c>
      <c r="L18" s="135">
        <f>_xlfn.COMPOUNDVALUE(248)</f>
        <v>672</v>
      </c>
      <c r="M18" s="137">
        <v>1548002</v>
      </c>
      <c r="N18" s="14" t="s">
        <v>106</v>
      </c>
    </row>
    <row r="19" spans="1:14" ht="15.75" customHeight="1">
      <c r="A19" s="13" t="s">
        <v>202</v>
      </c>
      <c r="B19" s="135">
        <f>_xlfn.COMPOUNDVALUE(249)</f>
        <v>940</v>
      </c>
      <c r="C19" s="136">
        <v>4008151</v>
      </c>
      <c r="D19" s="135">
        <f>_xlfn.COMPOUNDVALUE(250)</f>
        <v>445</v>
      </c>
      <c r="E19" s="136">
        <v>173167</v>
      </c>
      <c r="F19" s="135">
        <f>_xlfn.COMPOUNDVALUE(251)</f>
        <v>1385</v>
      </c>
      <c r="G19" s="136">
        <v>4181318</v>
      </c>
      <c r="H19" s="135">
        <f>_xlfn.COMPOUNDVALUE(252)</f>
        <v>57</v>
      </c>
      <c r="I19" s="137">
        <v>96644</v>
      </c>
      <c r="J19" s="135">
        <v>51</v>
      </c>
      <c r="K19" s="137">
        <v>10603</v>
      </c>
      <c r="L19" s="135">
        <f>_xlfn.COMPOUNDVALUE(252)</f>
        <v>1462</v>
      </c>
      <c r="M19" s="137">
        <v>4095277</v>
      </c>
      <c r="N19" s="14" t="s">
        <v>107</v>
      </c>
    </row>
    <row r="20" spans="1:14" ht="15.75" customHeight="1">
      <c r="A20" s="13" t="s">
        <v>203</v>
      </c>
      <c r="B20" s="135">
        <f>_xlfn.COMPOUNDVALUE(253)</f>
        <v>1414</v>
      </c>
      <c r="C20" s="136">
        <v>7128966</v>
      </c>
      <c r="D20" s="135">
        <f>_xlfn.COMPOUNDVALUE(254)</f>
        <v>578</v>
      </c>
      <c r="E20" s="136">
        <v>241656</v>
      </c>
      <c r="F20" s="135">
        <f>_xlfn.COMPOUNDVALUE(255)</f>
        <v>1992</v>
      </c>
      <c r="G20" s="136">
        <v>7370622</v>
      </c>
      <c r="H20" s="135">
        <f>_xlfn.COMPOUNDVALUE(256)</f>
        <v>71</v>
      </c>
      <c r="I20" s="137">
        <v>253912</v>
      </c>
      <c r="J20" s="135">
        <v>94</v>
      </c>
      <c r="K20" s="137">
        <v>1110</v>
      </c>
      <c r="L20" s="135">
        <f>_xlfn.COMPOUNDVALUE(256)</f>
        <v>2085</v>
      </c>
      <c r="M20" s="137">
        <v>7117820</v>
      </c>
      <c r="N20" s="14" t="s">
        <v>108</v>
      </c>
    </row>
    <row r="21" spans="1:14" ht="15.75" customHeight="1">
      <c r="A21" s="13" t="s">
        <v>204</v>
      </c>
      <c r="B21" s="135">
        <f>_xlfn.COMPOUNDVALUE(257)</f>
        <v>454</v>
      </c>
      <c r="C21" s="136">
        <v>1271474</v>
      </c>
      <c r="D21" s="135">
        <f>_xlfn.COMPOUNDVALUE(258)</f>
        <v>158</v>
      </c>
      <c r="E21" s="136">
        <v>72747</v>
      </c>
      <c r="F21" s="135">
        <f>_xlfn.COMPOUNDVALUE(259)</f>
        <v>612</v>
      </c>
      <c r="G21" s="136">
        <v>1344221</v>
      </c>
      <c r="H21" s="135">
        <f>_xlfn.COMPOUNDVALUE(260)</f>
        <v>39</v>
      </c>
      <c r="I21" s="137">
        <v>234854</v>
      </c>
      <c r="J21" s="135">
        <v>39</v>
      </c>
      <c r="K21" s="137">
        <v>7872</v>
      </c>
      <c r="L21" s="135">
        <f>_xlfn.COMPOUNDVALUE(260)</f>
        <v>664</v>
      </c>
      <c r="M21" s="137">
        <v>1117239</v>
      </c>
      <c r="N21" s="14" t="s">
        <v>109</v>
      </c>
    </row>
    <row r="22" spans="1:14" ht="15.75" customHeight="1">
      <c r="A22" s="13" t="s">
        <v>205</v>
      </c>
      <c r="B22" s="135">
        <f>_xlfn.COMPOUNDVALUE(261)</f>
        <v>896</v>
      </c>
      <c r="C22" s="136">
        <v>3746787</v>
      </c>
      <c r="D22" s="135">
        <f>_xlfn.COMPOUNDVALUE(262)</f>
        <v>410</v>
      </c>
      <c r="E22" s="136">
        <v>151490</v>
      </c>
      <c r="F22" s="135">
        <f>_xlfn.COMPOUNDVALUE(263)</f>
        <v>1306</v>
      </c>
      <c r="G22" s="136">
        <v>3898277</v>
      </c>
      <c r="H22" s="135">
        <f>_xlfn.COMPOUNDVALUE(264)</f>
        <v>42</v>
      </c>
      <c r="I22" s="137">
        <v>166728</v>
      </c>
      <c r="J22" s="135">
        <v>67</v>
      </c>
      <c r="K22" s="137">
        <v>22025</v>
      </c>
      <c r="L22" s="135">
        <f>_xlfn.COMPOUNDVALUE(264)</f>
        <v>1372</v>
      </c>
      <c r="M22" s="137">
        <v>3753574</v>
      </c>
      <c r="N22" s="14" t="s">
        <v>110</v>
      </c>
    </row>
    <row r="23" spans="1:14" ht="15.75" customHeight="1">
      <c r="A23" s="13" t="s">
        <v>206</v>
      </c>
      <c r="B23" s="135">
        <f>_xlfn.COMPOUNDVALUE(265)</f>
        <v>584</v>
      </c>
      <c r="C23" s="136">
        <v>2030440</v>
      </c>
      <c r="D23" s="135">
        <f>_xlfn.COMPOUNDVALUE(266)</f>
        <v>242</v>
      </c>
      <c r="E23" s="136">
        <v>95700</v>
      </c>
      <c r="F23" s="135">
        <f>_xlfn.COMPOUNDVALUE(267)</f>
        <v>826</v>
      </c>
      <c r="G23" s="136">
        <v>2126140</v>
      </c>
      <c r="H23" s="135">
        <f>_xlfn.COMPOUNDVALUE(268)</f>
        <v>56</v>
      </c>
      <c r="I23" s="137">
        <v>383782</v>
      </c>
      <c r="J23" s="135">
        <v>55</v>
      </c>
      <c r="K23" s="137">
        <v>30081</v>
      </c>
      <c r="L23" s="135">
        <f>_xlfn.COMPOUNDVALUE(268)</f>
        <v>910</v>
      </c>
      <c r="M23" s="137">
        <v>1772438</v>
      </c>
      <c r="N23" s="14" t="s">
        <v>111</v>
      </c>
    </row>
    <row r="24" spans="1:14" ht="15.75" customHeight="1">
      <c r="A24" s="13" t="s">
        <v>207</v>
      </c>
      <c r="B24" s="135">
        <f>_xlfn.COMPOUNDVALUE(269)</f>
        <v>446</v>
      </c>
      <c r="C24" s="136">
        <v>1513641</v>
      </c>
      <c r="D24" s="135">
        <f>_xlfn.COMPOUNDVALUE(270)</f>
        <v>145</v>
      </c>
      <c r="E24" s="136">
        <v>64207</v>
      </c>
      <c r="F24" s="135">
        <f>_xlfn.COMPOUNDVALUE(271)</f>
        <v>591</v>
      </c>
      <c r="G24" s="136">
        <v>1577848</v>
      </c>
      <c r="H24" s="135">
        <f>_xlfn.COMPOUNDVALUE(272)</f>
        <v>28</v>
      </c>
      <c r="I24" s="137">
        <v>40082</v>
      </c>
      <c r="J24" s="135">
        <v>16</v>
      </c>
      <c r="K24" s="137">
        <v>4394</v>
      </c>
      <c r="L24" s="135">
        <f>_xlfn.COMPOUNDVALUE(272)</f>
        <v>624</v>
      </c>
      <c r="M24" s="137">
        <v>1542160</v>
      </c>
      <c r="N24" s="14" t="s">
        <v>112</v>
      </c>
    </row>
    <row r="25" spans="1:14" ht="15.75" customHeight="1">
      <c r="A25" s="15" t="s">
        <v>208</v>
      </c>
      <c r="B25" s="138">
        <v>9404</v>
      </c>
      <c r="C25" s="139">
        <v>42448024</v>
      </c>
      <c r="D25" s="138">
        <v>3955</v>
      </c>
      <c r="E25" s="139">
        <v>1674446</v>
      </c>
      <c r="F25" s="138">
        <v>13359</v>
      </c>
      <c r="G25" s="139">
        <v>44122470</v>
      </c>
      <c r="H25" s="138">
        <v>615</v>
      </c>
      <c r="I25" s="140">
        <v>3620662</v>
      </c>
      <c r="J25" s="138">
        <v>595</v>
      </c>
      <c r="K25" s="140">
        <v>120172</v>
      </c>
      <c r="L25" s="138">
        <v>14160</v>
      </c>
      <c r="M25" s="140">
        <v>40621980</v>
      </c>
      <c r="N25" s="16" t="s">
        <v>113</v>
      </c>
    </row>
    <row r="26" spans="1:14" ht="15.75" customHeight="1">
      <c r="A26" s="23"/>
      <c r="B26" s="141"/>
      <c r="C26" s="142"/>
      <c r="D26" s="141"/>
      <c r="E26" s="142"/>
      <c r="F26" s="143"/>
      <c r="G26" s="142"/>
      <c r="H26" s="143"/>
      <c r="I26" s="142"/>
      <c r="J26" s="143"/>
      <c r="K26" s="142"/>
      <c r="L26" s="143"/>
      <c r="M26" s="142"/>
      <c r="N26" s="24"/>
    </row>
    <row r="27" spans="1:14" ht="15.75" customHeight="1">
      <c r="A27" s="11" t="s">
        <v>209</v>
      </c>
      <c r="B27" s="132">
        <f>_xlfn.COMPOUNDVALUE(273)</f>
        <v>4715</v>
      </c>
      <c r="C27" s="133">
        <v>39687164</v>
      </c>
      <c r="D27" s="132">
        <f>_xlfn.COMPOUNDVALUE(274)</f>
        <v>2287</v>
      </c>
      <c r="E27" s="133">
        <v>959289</v>
      </c>
      <c r="F27" s="132">
        <f>_xlfn.COMPOUNDVALUE(275)</f>
        <v>7002</v>
      </c>
      <c r="G27" s="133">
        <v>40646453</v>
      </c>
      <c r="H27" s="132">
        <f>_xlfn.COMPOUNDVALUE(276)</f>
        <v>270</v>
      </c>
      <c r="I27" s="134">
        <v>1073595</v>
      </c>
      <c r="J27" s="132">
        <v>522</v>
      </c>
      <c r="K27" s="134">
        <v>258254</v>
      </c>
      <c r="L27" s="132">
        <f>_xlfn.COMPOUNDVALUE(276)</f>
        <v>7385</v>
      </c>
      <c r="M27" s="134">
        <v>39831112</v>
      </c>
      <c r="N27" s="25" t="s">
        <v>114</v>
      </c>
    </row>
    <row r="28" spans="1:14" ht="15.75" customHeight="1">
      <c r="A28" s="13" t="s">
        <v>210</v>
      </c>
      <c r="B28" s="135">
        <f>_xlfn.COMPOUNDVALUE(277)</f>
        <v>4559</v>
      </c>
      <c r="C28" s="136">
        <v>32306653</v>
      </c>
      <c r="D28" s="135">
        <f>_xlfn.COMPOUNDVALUE(278)</f>
        <v>1702</v>
      </c>
      <c r="E28" s="136">
        <v>780455</v>
      </c>
      <c r="F28" s="135">
        <f>_xlfn.COMPOUNDVALUE(279)</f>
        <v>6261</v>
      </c>
      <c r="G28" s="136">
        <v>33087109</v>
      </c>
      <c r="H28" s="135">
        <f>_xlfn.COMPOUNDVALUE(280)</f>
        <v>221</v>
      </c>
      <c r="I28" s="137">
        <v>947126</v>
      </c>
      <c r="J28" s="135">
        <v>401</v>
      </c>
      <c r="K28" s="137">
        <v>71449</v>
      </c>
      <c r="L28" s="135">
        <f>_xlfn.COMPOUNDVALUE(280)</f>
        <v>6529</v>
      </c>
      <c r="M28" s="137">
        <v>32211432</v>
      </c>
      <c r="N28" s="14" t="s">
        <v>115</v>
      </c>
    </row>
    <row r="29" spans="1:14" ht="15.75" customHeight="1">
      <c r="A29" s="13" t="s">
        <v>211</v>
      </c>
      <c r="B29" s="135">
        <f>_xlfn.COMPOUNDVALUE(281)</f>
        <v>2238</v>
      </c>
      <c r="C29" s="136">
        <v>10727823</v>
      </c>
      <c r="D29" s="135">
        <f>_xlfn.COMPOUNDVALUE(282)</f>
        <v>1126</v>
      </c>
      <c r="E29" s="136">
        <v>473016</v>
      </c>
      <c r="F29" s="135">
        <f>_xlfn.COMPOUNDVALUE(283)</f>
        <v>3364</v>
      </c>
      <c r="G29" s="136">
        <v>11200839</v>
      </c>
      <c r="H29" s="135">
        <f>_xlfn.COMPOUNDVALUE(284)</f>
        <v>117</v>
      </c>
      <c r="I29" s="137">
        <v>307295</v>
      </c>
      <c r="J29" s="135">
        <v>175</v>
      </c>
      <c r="K29" s="137">
        <v>35145</v>
      </c>
      <c r="L29" s="135">
        <f>_xlfn.COMPOUNDVALUE(284)</f>
        <v>3531</v>
      </c>
      <c r="M29" s="137">
        <v>10928688</v>
      </c>
      <c r="N29" s="14" t="s">
        <v>116</v>
      </c>
    </row>
    <row r="30" spans="1:14" ht="15.75" customHeight="1">
      <c r="A30" s="13" t="s">
        <v>212</v>
      </c>
      <c r="B30" s="135">
        <f>_xlfn.COMPOUNDVALUE(285)</f>
        <v>1729</v>
      </c>
      <c r="C30" s="136">
        <v>6044760</v>
      </c>
      <c r="D30" s="135">
        <f>_xlfn.COMPOUNDVALUE(286)</f>
        <v>728</v>
      </c>
      <c r="E30" s="136">
        <v>353018</v>
      </c>
      <c r="F30" s="135">
        <f>_xlfn.COMPOUNDVALUE(287)</f>
        <v>2457</v>
      </c>
      <c r="G30" s="136">
        <v>6397778</v>
      </c>
      <c r="H30" s="135">
        <f>_xlfn.COMPOUNDVALUE(288)</f>
        <v>255</v>
      </c>
      <c r="I30" s="137">
        <v>2377573</v>
      </c>
      <c r="J30" s="135">
        <v>69</v>
      </c>
      <c r="K30" s="137">
        <v>22068</v>
      </c>
      <c r="L30" s="135">
        <f>_xlfn.COMPOUNDVALUE(288)</f>
        <v>2731</v>
      </c>
      <c r="M30" s="137">
        <v>4042272</v>
      </c>
      <c r="N30" s="14" t="s">
        <v>117</v>
      </c>
    </row>
    <row r="31" spans="1:14" ht="15.75" customHeight="1">
      <c r="A31" s="13" t="s">
        <v>213</v>
      </c>
      <c r="B31" s="135">
        <f>_xlfn.COMPOUNDVALUE(289)</f>
        <v>1319</v>
      </c>
      <c r="C31" s="136">
        <v>4095515</v>
      </c>
      <c r="D31" s="135">
        <f>_xlfn.COMPOUNDVALUE(290)</f>
        <v>601</v>
      </c>
      <c r="E31" s="136">
        <v>261153</v>
      </c>
      <c r="F31" s="135">
        <f>_xlfn.COMPOUNDVALUE(291)</f>
        <v>1920</v>
      </c>
      <c r="G31" s="136">
        <v>4356667</v>
      </c>
      <c r="H31" s="135">
        <f>_xlfn.COMPOUNDVALUE(292)</f>
        <v>111</v>
      </c>
      <c r="I31" s="137">
        <v>482093</v>
      </c>
      <c r="J31" s="135">
        <v>164</v>
      </c>
      <c r="K31" s="137">
        <v>20325</v>
      </c>
      <c r="L31" s="135">
        <f>_xlfn.COMPOUNDVALUE(292)</f>
        <v>2054</v>
      </c>
      <c r="M31" s="137">
        <v>3894900</v>
      </c>
      <c r="N31" s="14" t="s">
        <v>118</v>
      </c>
    </row>
    <row r="32" spans="1:14" ht="15.75" customHeight="1">
      <c r="A32" s="13" t="s">
        <v>214</v>
      </c>
      <c r="B32" s="135">
        <f>_xlfn.COMPOUNDVALUE(293)</f>
        <v>1493</v>
      </c>
      <c r="C32" s="136">
        <v>4836772</v>
      </c>
      <c r="D32" s="135">
        <f>_xlfn.COMPOUNDVALUE(294)</f>
        <v>690</v>
      </c>
      <c r="E32" s="136">
        <v>290863</v>
      </c>
      <c r="F32" s="135">
        <f>_xlfn.COMPOUNDVALUE(295)</f>
        <v>2183</v>
      </c>
      <c r="G32" s="136">
        <v>5127635</v>
      </c>
      <c r="H32" s="135">
        <f>_xlfn.COMPOUNDVALUE(296)</f>
        <v>92</v>
      </c>
      <c r="I32" s="137">
        <v>229663</v>
      </c>
      <c r="J32" s="135">
        <v>112</v>
      </c>
      <c r="K32" s="137">
        <v>11069</v>
      </c>
      <c r="L32" s="135">
        <f>_xlfn.COMPOUNDVALUE(296)</f>
        <v>2317</v>
      </c>
      <c r="M32" s="137">
        <v>4909040</v>
      </c>
      <c r="N32" s="14" t="s">
        <v>119</v>
      </c>
    </row>
    <row r="33" spans="1:14" ht="15.75" customHeight="1">
      <c r="A33" s="13" t="s">
        <v>215</v>
      </c>
      <c r="B33" s="135">
        <f>_xlfn.COMPOUNDVALUE(297)</f>
        <v>660</v>
      </c>
      <c r="C33" s="136">
        <v>2139671</v>
      </c>
      <c r="D33" s="135">
        <f>_xlfn.COMPOUNDVALUE(298)</f>
        <v>283</v>
      </c>
      <c r="E33" s="136">
        <v>141402</v>
      </c>
      <c r="F33" s="135">
        <f>_xlfn.COMPOUNDVALUE(299)</f>
        <v>943</v>
      </c>
      <c r="G33" s="136">
        <v>2281073</v>
      </c>
      <c r="H33" s="135">
        <f>_xlfn.COMPOUNDVALUE(300)</f>
        <v>130</v>
      </c>
      <c r="I33" s="137">
        <v>1060496</v>
      </c>
      <c r="J33" s="135">
        <v>35</v>
      </c>
      <c r="K33" s="137">
        <v>-26092</v>
      </c>
      <c r="L33" s="135">
        <f>_xlfn.COMPOUNDVALUE(300)</f>
        <v>1086</v>
      </c>
      <c r="M33" s="137">
        <v>1194486</v>
      </c>
      <c r="N33" s="14" t="s">
        <v>120</v>
      </c>
    </row>
    <row r="34" spans="1:14" ht="15.75" customHeight="1">
      <c r="A34" s="13" t="s">
        <v>216</v>
      </c>
      <c r="B34" s="135">
        <f>_xlfn.COMPOUNDVALUE(301)</f>
        <v>1137</v>
      </c>
      <c r="C34" s="136">
        <v>3441830</v>
      </c>
      <c r="D34" s="135">
        <f>_xlfn.COMPOUNDVALUE(302)</f>
        <v>559</v>
      </c>
      <c r="E34" s="136">
        <v>227907</v>
      </c>
      <c r="F34" s="135">
        <f>_xlfn.COMPOUNDVALUE(303)</f>
        <v>1696</v>
      </c>
      <c r="G34" s="136">
        <v>3669737</v>
      </c>
      <c r="H34" s="135">
        <f>_xlfn.COMPOUNDVALUE(304)</f>
        <v>62</v>
      </c>
      <c r="I34" s="137">
        <v>155223</v>
      </c>
      <c r="J34" s="135">
        <v>95</v>
      </c>
      <c r="K34" s="137">
        <v>14084</v>
      </c>
      <c r="L34" s="135">
        <f>_xlfn.COMPOUNDVALUE(304)</f>
        <v>1766</v>
      </c>
      <c r="M34" s="137">
        <v>3528598</v>
      </c>
      <c r="N34" s="14" t="s">
        <v>121</v>
      </c>
    </row>
    <row r="35" spans="1:14" ht="15.75" customHeight="1">
      <c r="A35" s="13" t="s">
        <v>217</v>
      </c>
      <c r="B35" s="135">
        <f>_xlfn.COMPOUNDVALUE(305)</f>
        <v>536</v>
      </c>
      <c r="C35" s="136">
        <v>1977615</v>
      </c>
      <c r="D35" s="135">
        <f>_xlfn.COMPOUNDVALUE(306)</f>
        <v>229</v>
      </c>
      <c r="E35" s="136">
        <v>94132</v>
      </c>
      <c r="F35" s="135">
        <f>_xlfn.COMPOUNDVALUE(307)</f>
        <v>765</v>
      </c>
      <c r="G35" s="136">
        <v>2071747</v>
      </c>
      <c r="H35" s="135">
        <f>_xlfn.COMPOUNDVALUE(308)</f>
        <v>39</v>
      </c>
      <c r="I35" s="137">
        <v>379130</v>
      </c>
      <c r="J35" s="135">
        <v>46</v>
      </c>
      <c r="K35" s="137">
        <v>-5913</v>
      </c>
      <c r="L35" s="135">
        <f>_xlfn.COMPOUNDVALUE(308)</f>
        <v>808</v>
      </c>
      <c r="M35" s="137">
        <v>1686704</v>
      </c>
      <c r="N35" s="14" t="s">
        <v>122</v>
      </c>
    </row>
    <row r="36" spans="1:14" ht="15.75" customHeight="1">
      <c r="A36" s="13" t="s">
        <v>218</v>
      </c>
      <c r="B36" s="135">
        <f>_xlfn.COMPOUNDVALUE(309)</f>
        <v>667</v>
      </c>
      <c r="C36" s="136">
        <v>2433921</v>
      </c>
      <c r="D36" s="135">
        <f>_xlfn.COMPOUNDVALUE(310)</f>
        <v>347</v>
      </c>
      <c r="E36" s="136">
        <v>147926</v>
      </c>
      <c r="F36" s="135">
        <f>_xlfn.COMPOUNDVALUE(311)</f>
        <v>1014</v>
      </c>
      <c r="G36" s="136">
        <v>2581847</v>
      </c>
      <c r="H36" s="135">
        <f>_xlfn.COMPOUNDVALUE(312)</f>
        <v>41</v>
      </c>
      <c r="I36" s="137">
        <v>63052</v>
      </c>
      <c r="J36" s="135">
        <v>87</v>
      </c>
      <c r="K36" s="137">
        <v>5412</v>
      </c>
      <c r="L36" s="135">
        <f>_xlfn.COMPOUNDVALUE(312)</f>
        <v>1064</v>
      </c>
      <c r="M36" s="137">
        <v>2524207</v>
      </c>
      <c r="N36" s="14" t="s">
        <v>123</v>
      </c>
    </row>
    <row r="37" spans="1:14" ht="15.75" customHeight="1">
      <c r="A37" s="15" t="s">
        <v>219</v>
      </c>
      <c r="B37" s="138">
        <v>19053</v>
      </c>
      <c r="C37" s="139">
        <v>107691724</v>
      </c>
      <c r="D37" s="138">
        <v>8552</v>
      </c>
      <c r="E37" s="139">
        <v>3729161</v>
      </c>
      <c r="F37" s="138">
        <v>27605</v>
      </c>
      <c r="G37" s="139">
        <v>111420884</v>
      </c>
      <c r="H37" s="138">
        <v>1338</v>
      </c>
      <c r="I37" s="140">
        <v>7075245</v>
      </c>
      <c r="J37" s="138">
        <v>1706</v>
      </c>
      <c r="K37" s="140">
        <v>405801</v>
      </c>
      <c r="L37" s="138">
        <v>29271</v>
      </c>
      <c r="M37" s="140">
        <v>104751441</v>
      </c>
      <c r="N37" s="16" t="s">
        <v>124</v>
      </c>
    </row>
    <row r="38" spans="1:14" ht="15.75" customHeight="1">
      <c r="A38" s="23"/>
      <c r="B38" s="141"/>
      <c r="C38" s="142"/>
      <c r="D38" s="141"/>
      <c r="E38" s="142"/>
      <c r="F38" s="143"/>
      <c r="G38" s="142"/>
      <c r="H38" s="143"/>
      <c r="I38" s="142"/>
      <c r="J38" s="143"/>
      <c r="K38" s="142"/>
      <c r="L38" s="143"/>
      <c r="M38" s="142"/>
      <c r="N38" s="105"/>
    </row>
    <row r="39" spans="1:14" ht="15.75" customHeight="1">
      <c r="A39" s="11" t="s">
        <v>220</v>
      </c>
      <c r="B39" s="132">
        <f>_xlfn.COMPOUNDVALUE(313)</f>
        <v>2210</v>
      </c>
      <c r="C39" s="133">
        <v>9874405</v>
      </c>
      <c r="D39" s="132">
        <f>_xlfn.COMPOUNDVALUE(314)</f>
        <v>1009</v>
      </c>
      <c r="E39" s="133">
        <v>386431</v>
      </c>
      <c r="F39" s="132">
        <f>_xlfn.COMPOUNDVALUE(315)</f>
        <v>3219</v>
      </c>
      <c r="G39" s="133">
        <v>10260836</v>
      </c>
      <c r="H39" s="132">
        <f>_xlfn.COMPOUNDVALUE(316)</f>
        <v>105</v>
      </c>
      <c r="I39" s="134">
        <v>819375</v>
      </c>
      <c r="J39" s="132">
        <v>180</v>
      </c>
      <c r="K39" s="134">
        <v>19166</v>
      </c>
      <c r="L39" s="132">
        <f>_xlfn.COMPOUNDVALUE(316)</f>
        <v>3353</v>
      </c>
      <c r="M39" s="134">
        <v>9460626</v>
      </c>
      <c r="N39" s="12" t="s">
        <v>125</v>
      </c>
    </row>
    <row r="40" spans="1:14" ht="15.75" customHeight="1">
      <c r="A40" s="13" t="s">
        <v>221</v>
      </c>
      <c r="B40" s="135">
        <f>_xlfn.COMPOUNDVALUE(317)</f>
        <v>1054</v>
      </c>
      <c r="C40" s="136">
        <v>3712904</v>
      </c>
      <c r="D40" s="135">
        <f>_xlfn.COMPOUNDVALUE(318)</f>
        <v>487</v>
      </c>
      <c r="E40" s="136">
        <v>191025</v>
      </c>
      <c r="F40" s="135">
        <f>_xlfn.COMPOUNDVALUE(319)</f>
        <v>1541</v>
      </c>
      <c r="G40" s="136">
        <v>3903929</v>
      </c>
      <c r="H40" s="135">
        <f>_xlfn.COMPOUNDVALUE(320)</f>
        <v>54</v>
      </c>
      <c r="I40" s="137">
        <v>151397</v>
      </c>
      <c r="J40" s="135">
        <v>72</v>
      </c>
      <c r="K40" s="137">
        <v>5123</v>
      </c>
      <c r="L40" s="135">
        <f>_xlfn.COMPOUNDVALUE(320)</f>
        <v>1608</v>
      </c>
      <c r="M40" s="137">
        <v>3757655</v>
      </c>
      <c r="N40" s="14" t="s">
        <v>126</v>
      </c>
    </row>
    <row r="41" spans="1:14" ht="15.75" customHeight="1">
      <c r="A41" s="13" t="s">
        <v>222</v>
      </c>
      <c r="B41" s="135">
        <f>_xlfn.COMPOUNDVALUE(321)</f>
        <v>674</v>
      </c>
      <c r="C41" s="136">
        <v>1714710</v>
      </c>
      <c r="D41" s="135">
        <f>_xlfn.COMPOUNDVALUE(322)</f>
        <v>309</v>
      </c>
      <c r="E41" s="136">
        <v>104866</v>
      </c>
      <c r="F41" s="135">
        <f>_xlfn.COMPOUNDVALUE(323)</f>
        <v>983</v>
      </c>
      <c r="G41" s="136">
        <v>1819576</v>
      </c>
      <c r="H41" s="135">
        <f>_xlfn.COMPOUNDVALUE(324)</f>
        <v>39</v>
      </c>
      <c r="I41" s="137">
        <v>59541</v>
      </c>
      <c r="J41" s="135">
        <v>45</v>
      </c>
      <c r="K41" s="137">
        <v>3891</v>
      </c>
      <c r="L41" s="135">
        <f>_xlfn.COMPOUNDVALUE(324)</f>
        <v>1029</v>
      </c>
      <c r="M41" s="137">
        <v>1763926</v>
      </c>
      <c r="N41" s="14" t="s">
        <v>127</v>
      </c>
    </row>
    <row r="42" spans="1:14" ht="15.75" customHeight="1">
      <c r="A42" s="13" t="s">
        <v>223</v>
      </c>
      <c r="B42" s="135">
        <f>_xlfn.COMPOUNDVALUE(325)</f>
        <v>693</v>
      </c>
      <c r="C42" s="136">
        <v>1986211</v>
      </c>
      <c r="D42" s="135">
        <f>_xlfn.COMPOUNDVALUE(326)</f>
        <v>302</v>
      </c>
      <c r="E42" s="136">
        <v>110247</v>
      </c>
      <c r="F42" s="135">
        <f>_xlfn.COMPOUNDVALUE(327)</f>
        <v>995</v>
      </c>
      <c r="G42" s="136">
        <v>2096457</v>
      </c>
      <c r="H42" s="135">
        <f>_xlfn.COMPOUNDVALUE(328)</f>
        <v>40</v>
      </c>
      <c r="I42" s="137">
        <v>148417</v>
      </c>
      <c r="J42" s="135">
        <v>45</v>
      </c>
      <c r="K42" s="137">
        <v>4884</v>
      </c>
      <c r="L42" s="135">
        <f>_xlfn.COMPOUNDVALUE(328)</f>
        <v>1043</v>
      </c>
      <c r="M42" s="137">
        <v>1952924</v>
      </c>
      <c r="N42" s="14" t="s">
        <v>128</v>
      </c>
    </row>
    <row r="43" spans="1:14" ht="15.75" customHeight="1">
      <c r="A43" s="13" t="s">
        <v>224</v>
      </c>
      <c r="B43" s="135">
        <f>_xlfn.COMPOUNDVALUE(329)</f>
        <v>1181</v>
      </c>
      <c r="C43" s="136">
        <v>4280715</v>
      </c>
      <c r="D43" s="135">
        <f>_xlfn.COMPOUNDVALUE(330)</f>
        <v>521</v>
      </c>
      <c r="E43" s="136">
        <v>188988</v>
      </c>
      <c r="F43" s="135">
        <f>_xlfn.COMPOUNDVALUE(331)</f>
        <v>1702</v>
      </c>
      <c r="G43" s="136">
        <v>4469704</v>
      </c>
      <c r="H43" s="135">
        <f>_xlfn.COMPOUNDVALUE(332)</f>
        <v>72</v>
      </c>
      <c r="I43" s="137">
        <v>111642</v>
      </c>
      <c r="J43" s="135">
        <v>38</v>
      </c>
      <c r="K43" s="137">
        <v>4638</v>
      </c>
      <c r="L43" s="135">
        <f>_xlfn.COMPOUNDVALUE(332)</f>
        <v>1785</v>
      </c>
      <c r="M43" s="137">
        <v>4362700</v>
      </c>
      <c r="N43" s="14" t="s">
        <v>129</v>
      </c>
    </row>
    <row r="44" spans="1:14" ht="15.75" customHeight="1">
      <c r="A44" s="13" t="s">
        <v>225</v>
      </c>
      <c r="B44" s="135">
        <f>_xlfn.COMPOUNDVALUE(333)</f>
        <v>731</v>
      </c>
      <c r="C44" s="136">
        <v>3194618</v>
      </c>
      <c r="D44" s="135">
        <f>_xlfn.COMPOUNDVALUE(334)</f>
        <v>338</v>
      </c>
      <c r="E44" s="136">
        <v>123023</v>
      </c>
      <c r="F44" s="135">
        <f>_xlfn.COMPOUNDVALUE(335)</f>
        <v>1069</v>
      </c>
      <c r="G44" s="136">
        <v>3317641</v>
      </c>
      <c r="H44" s="135">
        <f>_xlfn.COMPOUNDVALUE(336)</f>
        <v>35</v>
      </c>
      <c r="I44" s="137">
        <v>62132</v>
      </c>
      <c r="J44" s="135">
        <v>70</v>
      </c>
      <c r="K44" s="137">
        <v>2810</v>
      </c>
      <c r="L44" s="135">
        <f>_xlfn.COMPOUNDVALUE(336)</f>
        <v>1114</v>
      </c>
      <c r="M44" s="137">
        <v>3258318</v>
      </c>
      <c r="N44" s="14" t="s">
        <v>130</v>
      </c>
    </row>
    <row r="45" spans="1:14" ht="15.75" customHeight="1">
      <c r="A45" s="13" t="s">
        <v>226</v>
      </c>
      <c r="B45" s="135">
        <f>_xlfn.COMPOUNDVALUE(337)</f>
        <v>499</v>
      </c>
      <c r="C45" s="136">
        <v>1745769</v>
      </c>
      <c r="D45" s="135">
        <f>_xlfn.COMPOUNDVALUE(338)</f>
        <v>178</v>
      </c>
      <c r="E45" s="136">
        <v>61766</v>
      </c>
      <c r="F45" s="135">
        <f>_xlfn.COMPOUNDVALUE(339)</f>
        <v>677</v>
      </c>
      <c r="G45" s="136">
        <v>1807534</v>
      </c>
      <c r="H45" s="135">
        <f>_xlfn.COMPOUNDVALUE(340)</f>
        <v>26</v>
      </c>
      <c r="I45" s="137">
        <v>39636</v>
      </c>
      <c r="J45" s="135">
        <v>20</v>
      </c>
      <c r="K45" s="137">
        <v>1899</v>
      </c>
      <c r="L45" s="135">
        <f>_xlfn.COMPOUNDVALUE(340)</f>
        <v>709</v>
      </c>
      <c r="M45" s="137">
        <v>1769797</v>
      </c>
      <c r="N45" s="14" t="s">
        <v>131</v>
      </c>
    </row>
    <row r="46" spans="1:14" ht="15.75" customHeight="1">
      <c r="A46" s="13" t="s">
        <v>227</v>
      </c>
      <c r="B46" s="135">
        <f>_xlfn.COMPOUNDVALUE(341)</f>
        <v>1023</v>
      </c>
      <c r="C46" s="136">
        <v>2844106</v>
      </c>
      <c r="D46" s="135">
        <f>_xlfn.COMPOUNDVALUE(342)</f>
        <v>475</v>
      </c>
      <c r="E46" s="136">
        <v>191353</v>
      </c>
      <c r="F46" s="135">
        <f>_xlfn.COMPOUNDVALUE(343)</f>
        <v>1498</v>
      </c>
      <c r="G46" s="136">
        <v>3035460</v>
      </c>
      <c r="H46" s="135">
        <f>_xlfn.COMPOUNDVALUE(344)</f>
        <v>53</v>
      </c>
      <c r="I46" s="137">
        <v>112992</v>
      </c>
      <c r="J46" s="135">
        <v>36</v>
      </c>
      <c r="K46" s="137">
        <v>12448</v>
      </c>
      <c r="L46" s="135">
        <f>_xlfn.COMPOUNDVALUE(344)</f>
        <v>1560</v>
      </c>
      <c r="M46" s="137">
        <v>2934916</v>
      </c>
      <c r="N46" s="14" t="s">
        <v>132</v>
      </c>
    </row>
    <row r="47" spans="1:14" ht="15.75" customHeight="1">
      <c r="A47" s="15" t="s">
        <v>228</v>
      </c>
      <c r="B47" s="138">
        <v>8065</v>
      </c>
      <c r="C47" s="139">
        <v>29353437</v>
      </c>
      <c r="D47" s="138">
        <v>3619</v>
      </c>
      <c r="E47" s="139">
        <v>1357699</v>
      </c>
      <c r="F47" s="138">
        <v>11684</v>
      </c>
      <c r="G47" s="139">
        <v>30711136</v>
      </c>
      <c r="H47" s="138">
        <v>424</v>
      </c>
      <c r="I47" s="140">
        <v>1505132</v>
      </c>
      <c r="J47" s="138">
        <v>506</v>
      </c>
      <c r="K47" s="140">
        <v>54858</v>
      </c>
      <c r="L47" s="138">
        <v>12201</v>
      </c>
      <c r="M47" s="140">
        <v>29260862</v>
      </c>
      <c r="N47" s="16" t="s">
        <v>133</v>
      </c>
    </row>
    <row r="48" spans="1:14" ht="15.75" customHeight="1">
      <c r="A48" s="23"/>
      <c r="B48" s="141"/>
      <c r="C48" s="142"/>
      <c r="D48" s="141"/>
      <c r="E48" s="142"/>
      <c r="F48" s="143"/>
      <c r="G48" s="142"/>
      <c r="H48" s="143"/>
      <c r="I48" s="142"/>
      <c r="J48" s="143"/>
      <c r="K48" s="142"/>
      <c r="L48" s="143"/>
      <c r="M48" s="142"/>
      <c r="N48" s="24"/>
    </row>
    <row r="49" spans="1:14" ht="15.75" customHeight="1">
      <c r="A49" s="11" t="s">
        <v>229</v>
      </c>
      <c r="B49" s="132">
        <f>_xlfn.COMPOUNDVALUE(345)</f>
        <v>3504</v>
      </c>
      <c r="C49" s="133">
        <v>17015687</v>
      </c>
      <c r="D49" s="132">
        <f>_xlfn.COMPOUNDVALUE(346)</f>
        <v>1640</v>
      </c>
      <c r="E49" s="133">
        <v>618664</v>
      </c>
      <c r="F49" s="132">
        <f>_xlfn.COMPOUNDVALUE(347)</f>
        <v>5144</v>
      </c>
      <c r="G49" s="133">
        <v>17634351</v>
      </c>
      <c r="H49" s="132">
        <f>_xlfn.COMPOUNDVALUE(348)</f>
        <v>116</v>
      </c>
      <c r="I49" s="134">
        <v>485980</v>
      </c>
      <c r="J49" s="132">
        <v>262</v>
      </c>
      <c r="K49" s="134">
        <v>3452</v>
      </c>
      <c r="L49" s="132">
        <f>_xlfn.COMPOUNDVALUE(348)</f>
        <v>5333</v>
      </c>
      <c r="M49" s="134">
        <v>17151824</v>
      </c>
      <c r="N49" s="25" t="s">
        <v>134</v>
      </c>
    </row>
    <row r="50" spans="1:14" ht="15.75" customHeight="1">
      <c r="A50" s="13" t="s">
        <v>230</v>
      </c>
      <c r="B50" s="135">
        <f>_xlfn.COMPOUNDVALUE(349)</f>
        <v>1377</v>
      </c>
      <c r="C50" s="136">
        <v>5719777</v>
      </c>
      <c r="D50" s="135">
        <f>_xlfn.COMPOUNDVALUE(350)</f>
        <v>689</v>
      </c>
      <c r="E50" s="136">
        <v>257220</v>
      </c>
      <c r="F50" s="135">
        <f>_xlfn.COMPOUNDVALUE(351)</f>
        <v>2066</v>
      </c>
      <c r="G50" s="136">
        <v>5976998</v>
      </c>
      <c r="H50" s="135">
        <f>_xlfn.COMPOUNDVALUE(352)</f>
        <v>61</v>
      </c>
      <c r="I50" s="137">
        <v>472229</v>
      </c>
      <c r="J50" s="135">
        <v>70</v>
      </c>
      <c r="K50" s="137">
        <v>21999</v>
      </c>
      <c r="L50" s="135">
        <f>_xlfn.COMPOUNDVALUE(352)</f>
        <v>2152</v>
      </c>
      <c r="M50" s="137">
        <v>5526768</v>
      </c>
      <c r="N50" s="14" t="s">
        <v>135</v>
      </c>
    </row>
    <row r="51" spans="1:14" ht="15.75" customHeight="1">
      <c r="A51" s="13" t="s">
        <v>231</v>
      </c>
      <c r="B51" s="135">
        <f>_xlfn.COMPOUNDVALUE(353)</f>
        <v>1283</v>
      </c>
      <c r="C51" s="136">
        <v>4637876</v>
      </c>
      <c r="D51" s="135">
        <f>_xlfn.COMPOUNDVALUE(354)</f>
        <v>574</v>
      </c>
      <c r="E51" s="136">
        <v>205381</v>
      </c>
      <c r="F51" s="135">
        <f>_xlfn.COMPOUNDVALUE(355)</f>
        <v>1857</v>
      </c>
      <c r="G51" s="136">
        <v>4843257</v>
      </c>
      <c r="H51" s="135">
        <f>_xlfn.COMPOUNDVALUE(356)</f>
        <v>58</v>
      </c>
      <c r="I51" s="137">
        <v>97656</v>
      </c>
      <c r="J51" s="135">
        <v>52</v>
      </c>
      <c r="K51" s="137">
        <v>4497</v>
      </c>
      <c r="L51" s="135">
        <f>_xlfn.COMPOUNDVALUE(356)</f>
        <v>1926</v>
      </c>
      <c r="M51" s="137">
        <v>4750098</v>
      </c>
      <c r="N51" s="14" t="s">
        <v>136</v>
      </c>
    </row>
    <row r="52" spans="1:14" ht="15.75" customHeight="1">
      <c r="A52" s="13" t="s">
        <v>232</v>
      </c>
      <c r="B52" s="135">
        <f>_xlfn.COMPOUNDVALUE(357)</f>
        <v>1038</v>
      </c>
      <c r="C52" s="136">
        <v>4267996</v>
      </c>
      <c r="D52" s="135">
        <f>_xlfn.COMPOUNDVALUE(358)</f>
        <v>598</v>
      </c>
      <c r="E52" s="136">
        <v>213229</v>
      </c>
      <c r="F52" s="135">
        <f>_xlfn.COMPOUNDVALUE(359)</f>
        <v>1636</v>
      </c>
      <c r="G52" s="136">
        <v>4481224</v>
      </c>
      <c r="H52" s="135">
        <f>_xlfn.COMPOUNDVALUE(360)</f>
        <v>58</v>
      </c>
      <c r="I52" s="137">
        <v>86857</v>
      </c>
      <c r="J52" s="135">
        <v>53</v>
      </c>
      <c r="K52" s="137">
        <v>1399</v>
      </c>
      <c r="L52" s="135">
        <f>_xlfn.COMPOUNDVALUE(360)</f>
        <v>1702</v>
      </c>
      <c r="M52" s="137">
        <v>4395765</v>
      </c>
      <c r="N52" s="14" t="s">
        <v>137</v>
      </c>
    </row>
    <row r="53" spans="1:14" ht="15.75" customHeight="1">
      <c r="A53" s="13" t="s">
        <v>233</v>
      </c>
      <c r="B53" s="135">
        <f>_xlfn.COMPOUNDVALUE(361)</f>
        <v>643</v>
      </c>
      <c r="C53" s="136">
        <v>2019405</v>
      </c>
      <c r="D53" s="135">
        <f>_xlfn.COMPOUNDVALUE(362)</f>
        <v>294</v>
      </c>
      <c r="E53" s="136">
        <v>117246</v>
      </c>
      <c r="F53" s="135">
        <f>_xlfn.COMPOUNDVALUE(363)</f>
        <v>937</v>
      </c>
      <c r="G53" s="136">
        <v>2136651</v>
      </c>
      <c r="H53" s="135">
        <f>_xlfn.COMPOUNDVALUE(364)</f>
        <v>29</v>
      </c>
      <c r="I53" s="137">
        <v>88779</v>
      </c>
      <c r="J53" s="135">
        <v>44</v>
      </c>
      <c r="K53" s="137">
        <v>7006</v>
      </c>
      <c r="L53" s="135">
        <f>_xlfn.COMPOUNDVALUE(364)</f>
        <v>977</v>
      </c>
      <c r="M53" s="137">
        <v>2054878</v>
      </c>
      <c r="N53" s="14" t="s">
        <v>138</v>
      </c>
    </row>
    <row r="54" spans="1:14" ht="15.75" customHeight="1">
      <c r="A54" s="13" t="s">
        <v>234</v>
      </c>
      <c r="B54" s="135">
        <f>_xlfn.COMPOUNDVALUE(365)</f>
        <v>649</v>
      </c>
      <c r="C54" s="136">
        <v>2790610</v>
      </c>
      <c r="D54" s="135">
        <f>_xlfn.COMPOUNDVALUE(366)</f>
        <v>297</v>
      </c>
      <c r="E54" s="136">
        <v>106944</v>
      </c>
      <c r="F54" s="135">
        <f>_xlfn.COMPOUNDVALUE(367)</f>
        <v>946</v>
      </c>
      <c r="G54" s="136">
        <v>2897554</v>
      </c>
      <c r="H54" s="135">
        <f>_xlfn.COMPOUNDVALUE(368)</f>
        <v>26</v>
      </c>
      <c r="I54" s="137">
        <v>21028</v>
      </c>
      <c r="J54" s="135">
        <v>23</v>
      </c>
      <c r="K54" s="137">
        <v>1439</v>
      </c>
      <c r="L54" s="135">
        <f>_xlfn.COMPOUNDVALUE(368)</f>
        <v>977</v>
      </c>
      <c r="M54" s="137">
        <v>2877966</v>
      </c>
      <c r="N54" s="14" t="s">
        <v>139</v>
      </c>
    </row>
    <row r="55" spans="1:14" ht="15.75" customHeight="1">
      <c r="A55" s="13" t="s">
        <v>235</v>
      </c>
      <c r="B55" s="135">
        <f>_xlfn.COMPOUNDVALUE(369)</f>
        <v>708</v>
      </c>
      <c r="C55" s="136">
        <v>3482306</v>
      </c>
      <c r="D55" s="135">
        <f>_xlfn.COMPOUNDVALUE(370)</f>
        <v>247</v>
      </c>
      <c r="E55" s="136">
        <v>96979</v>
      </c>
      <c r="F55" s="135">
        <f>_xlfn.COMPOUNDVALUE(371)</f>
        <v>955</v>
      </c>
      <c r="G55" s="136">
        <v>3579285</v>
      </c>
      <c r="H55" s="135">
        <f>_xlfn.COMPOUNDVALUE(372)</f>
        <v>36</v>
      </c>
      <c r="I55" s="137">
        <v>523005</v>
      </c>
      <c r="J55" s="135">
        <v>38</v>
      </c>
      <c r="K55" s="137">
        <v>4764</v>
      </c>
      <c r="L55" s="135">
        <f>_xlfn.COMPOUNDVALUE(372)</f>
        <v>996</v>
      </c>
      <c r="M55" s="137">
        <v>3061043</v>
      </c>
      <c r="N55" s="14" t="s">
        <v>140</v>
      </c>
    </row>
    <row r="56" spans="1:14" ht="15.75" customHeight="1">
      <c r="A56" s="13" t="s">
        <v>236</v>
      </c>
      <c r="B56" s="135">
        <f>_xlfn.COMPOUNDVALUE(373)</f>
        <v>527</v>
      </c>
      <c r="C56" s="136">
        <v>1926237</v>
      </c>
      <c r="D56" s="135">
        <f>_xlfn.COMPOUNDVALUE(374)</f>
        <v>239</v>
      </c>
      <c r="E56" s="136">
        <v>90625</v>
      </c>
      <c r="F56" s="135">
        <f>_xlfn.COMPOUNDVALUE(375)</f>
        <v>766</v>
      </c>
      <c r="G56" s="136">
        <v>2016862</v>
      </c>
      <c r="H56" s="135">
        <f>_xlfn.COMPOUNDVALUE(376)</f>
        <v>26</v>
      </c>
      <c r="I56" s="137">
        <v>79887</v>
      </c>
      <c r="J56" s="135">
        <v>44</v>
      </c>
      <c r="K56" s="137">
        <v>5062</v>
      </c>
      <c r="L56" s="135">
        <f>_xlfn.COMPOUNDVALUE(376)</f>
        <v>799</v>
      </c>
      <c r="M56" s="137">
        <v>1942037</v>
      </c>
      <c r="N56" s="14" t="s">
        <v>141</v>
      </c>
    </row>
    <row r="57" spans="1:14" ht="15.75" customHeight="1">
      <c r="A57" s="15" t="s">
        <v>237</v>
      </c>
      <c r="B57" s="138">
        <v>9729</v>
      </c>
      <c r="C57" s="139">
        <v>41859893</v>
      </c>
      <c r="D57" s="138">
        <v>4578</v>
      </c>
      <c r="E57" s="139">
        <v>1706288</v>
      </c>
      <c r="F57" s="138">
        <v>14307</v>
      </c>
      <c r="G57" s="139">
        <v>43566181</v>
      </c>
      <c r="H57" s="138">
        <v>410</v>
      </c>
      <c r="I57" s="140">
        <v>1855420</v>
      </c>
      <c r="J57" s="138">
        <v>586</v>
      </c>
      <c r="K57" s="140">
        <v>49618</v>
      </c>
      <c r="L57" s="138">
        <v>14862</v>
      </c>
      <c r="M57" s="140">
        <v>41760378</v>
      </c>
      <c r="N57" s="16" t="s">
        <v>142</v>
      </c>
    </row>
    <row r="58" spans="1:14" ht="15.75" customHeight="1">
      <c r="A58" s="23"/>
      <c r="B58" s="141"/>
      <c r="C58" s="142"/>
      <c r="D58" s="141"/>
      <c r="E58" s="142"/>
      <c r="F58" s="143"/>
      <c r="G58" s="142"/>
      <c r="H58" s="143"/>
      <c r="I58" s="142"/>
      <c r="J58" s="143"/>
      <c r="K58" s="142"/>
      <c r="L58" s="143"/>
      <c r="M58" s="142"/>
      <c r="N58" s="24"/>
    </row>
    <row r="59" spans="1:14" ht="15.75" customHeight="1">
      <c r="A59" s="11" t="s">
        <v>238</v>
      </c>
      <c r="B59" s="132">
        <f>_xlfn.COMPOUNDVALUE(377)</f>
        <v>3170</v>
      </c>
      <c r="C59" s="133">
        <v>16218054</v>
      </c>
      <c r="D59" s="132">
        <f>_xlfn.COMPOUNDVALUE(378)</f>
        <v>1560</v>
      </c>
      <c r="E59" s="133">
        <v>602860</v>
      </c>
      <c r="F59" s="132">
        <f>_xlfn.COMPOUNDVALUE(379)</f>
        <v>4730</v>
      </c>
      <c r="G59" s="133">
        <v>16820914</v>
      </c>
      <c r="H59" s="132">
        <f>_xlfn.COMPOUNDVALUE(380)</f>
        <v>164</v>
      </c>
      <c r="I59" s="134">
        <v>1008909</v>
      </c>
      <c r="J59" s="132">
        <v>253</v>
      </c>
      <c r="K59" s="134">
        <v>75308</v>
      </c>
      <c r="L59" s="132">
        <f>_xlfn.COMPOUNDVALUE(380)</f>
        <v>4929</v>
      </c>
      <c r="M59" s="134">
        <v>15887313</v>
      </c>
      <c r="N59" s="25" t="s">
        <v>144</v>
      </c>
    </row>
    <row r="60" spans="1:14" ht="15.75" customHeight="1">
      <c r="A60" s="11" t="s">
        <v>239</v>
      </c>
      <c r="B60" s="132">
        <f>_xlfn.COMPOUNDVALUE(381)</f>
        <v>1621</v>
      </c>
      <c r="C60" s="133">
        <v>6224576</v>
      </c>
      <c r="D60" s="132">
        <f>_xlfn.COMPOUNDVALUE(382)</f>
        <v>974</v>
      </c>
      <c r="E60" s="133">
        <v>364087</v>
      </c>
      <c r="F60" s="132">
        <f>_xlfn.COMPOUNDVALUE(383)</f>
        <v>2595</v>
      </c>
      <c r="G60" s="133">
        <v>6588663</v>
      </c>
      <c r="H60" s="132">
        <f>_xlfn.COMPOUNDVALUE(384)</f>
        <v>79</v>
      </c>
      <c r="I60" s="134">
        <v>72022</v>
      </c>
      <c r="J60" s="132">
        <v>107</v>
      </c>
      <c r="K60" s="134">
        <v>13862</v>
      </c>
      <c r="L60" s="132">
        <f>_xlfn.COMPOUNDVALUE(384)</f>
        <v>2699</v>
      </c>
      <c r="M60" s="134">
        <v>6530503</v>
      </c>
      <c r="N60" s="12" t="s">
        <v>145</v>
      </c>
    </row>
    <row r="61" spans="1:14" ht="15.75" customHeight="1">
      <c r="A61" s="11" t="s">
        <v>240</v>
      </c>
      <c r="B61" s="132">
        <f>_xlfn.COMPOUNDVALUE(385)</f>
        <v>3982</v>
      </c>
      <c r="C61" s="133">
        <v>21375894</v>
      </c>
      <c r="D61" s="132">
        <f>_xlfn.COMPOUNDVALUE(386)</f>
        <v>2123</v>
      </c>
      <c r="E61" s="133">
        <v>923095</v>
      </c>
      <c r="F61" s="132">
        <f>_xlfn.COMPOUNDVALUE(387)</f>
        <v>6105</v>
      </c>
      <c r="G61" s="133">
        <v>22298989</v>
      </c>
      <c r="H61" s="132">
        <f>_xlfn.COMPOUNDVALUE(388)</f>
        <v>236</v>
      </c>
      <c r="I61" s="134">
        <v>828525</v>
      </c>
      <c r="J61" s="132">
        <v>240</v>
      </c>
      <c r="K61" s="134">
        <v>-20515</v>
      </c>
      <c r="L61" s="132">
        <f>_xlfn.COMPOUNDVALUE(388)</f>
        <v>6393</v>
      </c>
      <c r="M61" s="134">
        <v>21449948</v>
      </c>
      <c r="N61" s="12" t="s">
        <v>146</v>
      </c>
    </row>
    <row r="62" spans="1:14" ht="15.75" customHeight="1">
      <c r="A62" s="13" t="s">
        <v>69</v>
      </c>
      <c r="B62" s="135">
        <f>_xlfn.COMPOUNDVALUE(389)</f>
        <v>3154</v>
      </c>
      <c r="C62" s="136">
        <v>12616672</v>
      </c>
      <c r="D62" s="135">
        <f>_xlfn.COMPOUNDVALUE(390)</f>
        <v>1680</v>
      </c>
      <c r="E62" s="136">
        <v>746981</v>
      </c>
      <c r="F62" s="135">
        <f>_xlfn.COMPOUNDVALUE(391)</f>
        <v>4834</v>
      </c>
      <c r="G62" s="136">
        <v>13363653</v>
      </c>
      <c r="H62" s="135">
        <f>_xlfn.COMPOUNDVALUE(392)</f>
        <v>284</v>
      </c>
      <c r="I62" s="137">
        <v>3085187</v>
      </c>
      <c r="J62" s="135">
        <v>300</v>
      </c>
      <c r="K62" s="137">
        <v>78373</v>
      </c>
      <c r="L62" s="135">
        <f>_xlfn.COMPOUNDVALUE(392)</f>
        <v>5177</v>
      </c>
      <c r="M62" s="137">
        <v>10356839</v>
      </c>
      <c r="N62" s="14" t="s">
        <v>69</v>
      </c>
    </row>
    <row r="63" spans="1:14" ht="15.75" customHeight="1">
      <c r="A63" s="13" t="s">
        <v>241</v>
      </c>
      <c r="B63" s="135">
        <f>_xlfn.COMPOUNDVALUE(393)</f>
        <v>1092</v>
      </c>
      <c r="C63" s="136">
        <v>3499923</v>
      </c>
      <c r="D63" s="135">
        <f>_xlfn.COMPOUNDVALUE(394)</f>
        <v>523</v>
      </c>
      <c r="E63" s="136">
        <v>215815</v>
      </c>
      <c r="F63" s="135">
        <f>_xlfn.COMPOUNDVALUE(395)</f>
        <v>1615</v>
      </c>
      <c r="G63" s="136">
        <v>3715738</v>
      </c>
      <c r="H63" s="135">
        <f>_xlfn.COMPOUNDVALUE(396)</f>
        <v>70</v>
      </c>
      <c r="I63" s="137">
        <v>115174</v>
      </c>
      <c r="J63" s="135">
        <v>42</v>
      </c>
      <c r="K63" s="137">
        <v>-8038</v>
      </c>
      <c r="L63" s="135">
        <f>_xlfn.COMPOUNDVALUE(396)</f>
        <v>1695</v>
      </c>
      <c r="M63" s="137">
        <v>3592527</v>
      </c>
      <c r="N63" s="14" t="s">
        <v>147</v>
      </c>
    </row>
    <row r="64" spans="1:14" ht="15.75" customHeight="1">
      <c r="A64" s="13" t="s">
        <v>242</v>
      </c>
      <c r="B64" s="135">
        <f>_xlfn.COMPOUNDVALUE(397)</f>
        <v>1110</v>
      </c>
      <c r="C64" s="136">
        <v>3602390</v>
      </c>
      <c r="D64" s="135">
        <f>_xlfn.COMPOUNDVALUE(398)</f>
        <v>600</v>
      </c>
      <c r="E64" s="136">
        <v>234315</v>
      </c>
      <c r="F64" s="135">
        <f>_xlfn.COMPOUNDVALUE(399)</f>
        <v>1710</v>
      </c>
      <c r="G64" s="136">
        <v>3836705</v>
      </c>
      <c r="H64" s="135">
        <f>_xlfn.COMPOUNDVALUE(400)</f>
        <v>86</v>
      </c>
      <c r="I64" s="137">
        <v>502817</v>
      </c>
      <c r="J64" s="135">
        <v>55</v>
      </c>
      <c r="K64" s="137">
        <v>8681</v>
      </c>
      <c r="L64" s="135">
        <f>_xlfn.COMPOUNDVALUE(400)</f>
        <v>1807</v>
      </c>
      <c r="M64" s="137">
        <v>3342569</v>
      </c>
      <c r="N64" s="14" t="s">
        <v>148</v>
      </c>
    </row>
    <row r="65" spans="1:14" ht="15.75" customHeight="1">
      <c r="A65" s="13" t="s">
        <v>243</v>
      </c>
      <c r="B65" s="135">
        <f>_xlfn.COMPOUNDVALUE(401)</f>
        <v>430</v>
      </c>
      <c r="C65" s="136">
        <v>1325118</v>
      </c>
      <c r="D65" s="135">
        <f>_xlfn.COMPOUNDVALUE(402)</f>
        <v>287</v>
      </c>
      <c r="E65" s="136">
        <v>98230</v>
      </c>
      <c r="F65" s="135">
        <f>_xlfn.COMPOUNDVALUE(403)</f>
        <v>717</v>
      </c>
      <c r="G65" s="136">
        <v>1423348</v>
      </c>
      <c r="H65" s="135">
        <f>_xlfn.COMPOUNDVALUE(404)</f>
        <v>30</v>
      </c>
      <c r="I65" s="137">
        <v>40770</v>
      </c>
      <c r="J65" s="135">
        <v>20</v>
      </c>
      <c r="K65" s="137">
        <v>2476</v>
      </c>
      <c r="L65" s="135">
        <f>_xlfn.COMPOUNDVALUE(404)</f>
        <v>753</v>
      </c>
      <c r="M65" s="137">
        <v>1385053</v>
      </c>
      <c r="N65" s="14" t="s">
        <v>149</v>
      </c>
    </row>
    <row r="66" spans="1:14" ht="15.75" customHeight="1">
      <c r="A66" s="13" t="s">
        <v>244</v>
      </c>
      <c r="B66" s="135">
        <f>_xlfn.COMPOUNDVALUE(405)</f>
        <v>999</v>
      </c>
      <c r="C66" s="136">
        <v>4011224</v>
      </c>
      <c r="D66" s="135">
        <f>_xlfn.COMPOUNDVALUE(406)</f>
        <v>461</v>
      </c>
      <c r="E66" s="136">
        <v>247009</v>
      </c>
      <c r="F66" s="135">
        <f>_xlfn.COMPOUNDVALUE(407)</f>
        <v>1460</v>
      </c>
      <c r="G66" s="136">
        <v>4258233</v>
      </c>
      <c r="H66" s="135">
        <f>_xlfn.COMPOUNDVALUE(408)</f>
        <v>212</v>
      </c>
      <c r="I66" s="137">
        <v>1080197</v>
      </c>
      <c r="J66" s="135">
        <v>39</v>
      </c>
      <c r="K66" s="137">
        <v>1128</v>
      </c>
      <c r="L66" s="135">
        <f>_xlfn.COMPOUNDVALUE(408)</f>
        <v>1690</v>
      </c>
      <c r="M66" s="137">
        <v>3179164</v>
      </c>
      <c r="N66" s="14" t="s">
        <v>150</v>
      </c>
    </row>
    <row r="67" spans="1:14" ht="15.75" customHeight="1">
      <c r="A67" s="13" t="s">
        <v>245</v>
      </c>
      <c r="B67" s="135">
        <f>_xlfn.COMPOUNDVALUE(409)</f>
        <v>779</v>
      </c>
      <c r="C67" s="136">
        <v>2743298</v>
      </c>
      <c r="D67" s="135">
        <f>_xlfn.COMPOUNDVALUE(410)</f>
        <v>356</v>
      </c>
      <c r="E67" s="136">
        <v>173501</v>
      </c>
      <c r="F67" s="135">
        <f>_xlfn.COMPOUNDVALUE(411)</f>
        <v>1135</v>
      </c>
      <c r="G67" s="136">
        <v>2916799</v>
      </c>
      <c r="H67" s="135">
        <f>_xlfn.COMPOUNDVALUE(412)</f>
        <v>47</v>
      </c>
      <c r="I67" s="137">
        <v>56582</v>
      </c>
      <c r="J67" s="135">
        <v>33</v>
      </c>
      <c r="K67" s="137">
        <v>6219</v>
      </c>
      <c r="L67" s="135">
        <f>_xlfn.COMPOUNDVALUE(412)</f>
        <v>1196</v>
      </c>
      <c r="M67" s="137">
        <v>2866437</v>
      </c>
      <c r="N67" s="14" t="s">
        <v>151</v>
      </c>
    </row>
    <row r="68" spans="1:14" ht="15.75" customHeight="1">
      <c r="A68" s="13" t="s">
        <v>246</v>
      </c>
      <c r="B68" s="135">
        <f>_xlfn.COMPOUNDVALUE(413)</f>
        <v>285</v>
      </c>
      <c r="C68" s="136">
        <v>691180</v>
      </c>
      <c r="D68" s="135">
        <f>_xlfn.COMPOUNDVALUE(414)</f>
        <v>145</v>
      </c>
      <c r="E68" s="136">
        <v>63333</v>
      </c>
      <c r="F68" s="135">
        <f>_xlfn.COMPOUNDVALUE(415)</f>
        <v>430</v>
      </c>
      <c r="G68" s="136">
        <v>754513</v>
      </c>
      <c r="H68" s="135">
        <f>_xlfn.COMPOUNDVALUE(416)</f>
        <v>16</v>
      </c>
      <c r="I68" s="137">
        <v>11679</v>
      </c>
      <c r="J68" s="135">
        <v>11</v>
      </c>
      <c r="K68" s="137">
        <v>2292</v>
      </c>
      <c r="L68" s="135">
        <f>_xlfn.COMPOUNDVALUE(416)</f>
        <v>451</v>
      </c>
      <c r="M68" s="137">
        <v>745126</v>
      </c>
      <c r="N68" s="14" t="s">
        <v>152</v>
      </c>
    </row>
    <row r="69" spans="1:14" ht="15.75" customHeight="1">
      <c r="A69" s="15" t="s">
        <v>247</v>
      </c>
      <c r="B69" s="138">
        <v>16622</v>
      </c>
      <c r="C69" s="139">
        <v>72308330</v>
      </c>
      <c r="D69" s="138">
        <v>8709</v>
      </c>
      <c r="E69" s="139">
        <v>3669227</v>
      </c>
      <c r="F69" s="138">
        <v>25331</v>
      </c>
      <c r="G69" s="139">
        <v>75977556</v>
      </c>
      <c r="H69" s="138">
        <v>1224</v>
      </c>
      <c r="I69" s="140">
        <v>6801864</v>
      </c>
      <c r="J69" s="138">
        <v>1100</v>
      </c>
      <c r="K69" s="140">
        <v>159786</v>
      </c>
      <c r="L69" s="138">
        <v>26790</v>
      </c>
      <c r="M69" s="140">
        <v>69335478</v>
      </c>
      <c r="N69" s="16" t="s">
        <v>153</v>
      </c>
    </row>
    <row r="70" spans="1:14" ht="15.75" customHeight="1" thickBot="1">
      <c r="A70" s="18"/>
      <c r="B70" s="147"/>
      <c r="C70" s="148"/>
      <c r="D70" s="147"/>
      <c r="E70" s="148"/>
      <c r="F70" s="149"/>
      <c r="G70" s="148"/>
      <c r="H70" s="149"/>
      <c r="I70" s="148"/>
      <c r="J70" s="149"/>
      <c r="K70" s="148"/>
      <c r="L70" s="149"/>
      <c r="M70" s="148"/>
      <c r="N70" s="19"/>
    </row>
    <row r="71" spans="1:14" ht="15.75" customHeight="1" thickBot="1" thickTop="1">
      <c r="A71" s="21" t="s">
        <v>248</v>
      </c>
      <c r="B71" s="150">
        <v>73350</v>
      </c>
      <c r="C71" s="151">
        <v>340081217</v>
      </c>
      <c r="D71" s="150">
        <v>33650</v>
      </c>
      <c r="E71" s="151">
        <v>13854685</v>
      </c>
      <c r="F71" s="150">
        <v>107000</v>
      </c>
      <c r="G71" s="151">
        <v>353935902</v>
      </c>
      <c r="H71" s="150">
        <v>4551</v>
      </c>
      <c r="I71" s="152">
        <v>24879163</v>
      </c>
      <c r="J71" s="150">
        <v>5211</v>
      </c>
      <c r="K71" s="152">
        <v>940030</v>
      </c>
      <c r="L71" s="150">
        <v>112670</v>
      </c>
      <c r="M71" s="152">
        <v>329996770</v>
      </c>
      <c r="N71" s="22" t="s">
        <v>96</v>
      </c>
    </row>
    <row r="72" spans="1:14" ht="13.5">
      <c r="A72" s="249" t="s">
        <v>249</v>
      </c>
      <c r="B72" s="249"/>
      <c r="C72" s="249"/>
      <c r="D72" s="249"/>
      <c r="E72" s="249"/>
      <c r="F72" s="249"/>
      <c r="G72" s="249"/>
      <c r="H72" s="249"/>
      <c r="I72" s="249"/>
      <c r="J72" s="26"/>
      <c r="K72" s="26"/>
      <c r="L72" s="2"/>
      <c r="M72" s="2"/>
      <c r="N72" s="2"/>
    </row>
  </sheetData>
  <sheetProtection/>
  <mergeCells count="11">
    <mergeCell ref="A72:I72"/>
    <mergeCell ref="A2:I2"/>
    <mergeCell ref="A3:A5"/>
    <mergeCell ref="B3:G3"/>
    <mergeCell ref="H3:I4"/>
    <mergeCell ref="N3:N5"/>
    <mergeCell ref="B4:C4"/>
    <mergeCell ref="D4:E4"/>
    <mergeCell ref="F4:G4"/>
    <mergeCell ref="J3:K4"/>
    <mergeCell ref="L3:M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(H25)</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tabSelected="1" zoomScaleSheetLayoutView="85" zoomScalePageLayoutView="0" workbookViewId="0" topLeftCell="A64">
      <selection activeCell="B91" sqref="B9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77</v>
      </c>
      <c r="B1" s="1"/>
      <c r="C1" s="1"/>
      <c r="D1" s="1"/>
      <c r="E1" s="1"/>
      <c r="F1" s="1"/>
      <c r="G1" s="1"/>
      <c r="H1" s="1"/>
      <c r="I1" s="1"/>
      <c r="J1" s="1"/>
      <c r="K1" s="1"/>
      <c r="L1" s="2"/>
      <c r="M1" s="2"/>
      <c r="N1" s="2"/>
      <c r="O1" s="2"/>
      <c r="P1" s="2"/>
    </row>
    <row r="2" spans="1:16" ht="14.25" thickBot="1">
      <c r="A2" s="233" t="s">
        <v>86</v>
      </c>
      <c r="B2" s="233"/>
      <c r="C2" s="233"/>
      <c r="D2" s="233"/>
      <c r="E2" s="233"/>
      <c r="F2" s="233"/>
      <c r="G2" s="233"/>
      <c r="H2" s="233"/>
      <c r="I2" s="233"/>
      <c r="J2" s="26"/>
      <c r="K2" s="26"/>
      <c r="L2" s="2"/>
      <c r="M2" s="2"/>
      <c r="N2" s="2"/>
      <c r="O2" s="2"/>
      <c r="P2" s="2"/>
    </row>
    <row r="3" spans="1:18" ht="19.5" customHeight="1">
      <c r="A3" s="229" t="s">
        <v>2</v>
      </c>
      <c r="B3" s="232" t="s">
        <v>3</v>
      </c>
      <c r="C3" s="232"/>
      <c r="D3" s="232"/>
      <c r="E3" s="232"/>
      <c r="F3" s="232"/>
      <c r="G3" s="232"/>
      <c r="H3" s="232" t="s">
        <v>4</v>
      </c>
      <c r="I3" s="232"/>
      <c r="J3" s="241" t="s">
        <v>5</v>
      </c>
      <c r="K3" s="232"/>
      <c r="L3" s="232" t="s">
        <v>6</v>
      </c>
      <c r="M3" s="232"/>
      <c r="N3" s="242" t="s">
        <v>87</v>
      </c>
      <c r="O3" s="243"/>
      <c r="P3" s="243"/>
      <c r="Q3" s="243"/>
      <c r="R3" s="219" t="s">
        <v>79</v>
      </c>
    </row>
    <row r="4" spans="1:18" ht="17.25" customHeight="1">
      <c r="A4" s="230"/>
      <c r="B4" s="222" t="s">
        <v>8</v>
      </c>
      <c r="C4" s="222"/>
      <c r="D4" s="222" t="s">
        <v>9</v>
      </c>
      <c r="E4" s="222"/>
      <c r="F4" s="222" t="s">
        <v>10</v>
      </c>
      <c r="G4" s="222"/>
      <c r="H4" s="222"/>
      <c r="I4" s="222"/>
      <c r="J4" s="222"/>
      <c r="K4" s="222"/>
      <c r="L4" s="222"/>
      <c r="M4" s="222"/>
      <c r="N4" s="234" t="s">
        <v>88</v>
      </c>
      <c r="O4" s="236" t="s">
        <v>89</v>
      </c>
      <c r="P4" s="238" t="s">
        <v>90</v>
      </c>
      <c r="Q4" s="227" t="s">
        <v>91</v>
      </c>
      <c r="R4" s="220"/>
    </row>
    <row r="5" spans="1:18" ht="28.5" customHeight="1">
      <c r="A5" s="231"/>
      <c r="B5" s="34" t="s">
        <v>11</v>
      </c>
      <c r="C5" s="35" t="s">
        <v>12</v>
      </c>
      <c r="D5" s="34" t="s">
        <v>11</v>
      </c>
      <c r="E5" s="35" t="s">
        <v>12</v>
      </c>
      <c r="F5" s="34" t="s">
        <v>11</v>
      </c>
      <c r="G5" s="35" t="s">
        <v>13</v>
      </c>
      <c r="H5" s="34" t="s">
        <v>11</v>
      </c>
      <c r="I5" s="35" t="s">
        <v>14</v>
      </c>
      <c r="J5" s="34" t="s">
        <v>11</v>
      </c>
      <c r="K5" s="35" t="s">
        <v>15</v>
      </c>
      <c r="L5" s="34" t="s">
        <v>11</v>
      </c>
      <c r="M5" s="30" t="s">
        <v>95</v>
      </c>
      <c r="N5" s="235"/>
      <c r="O5" s="237"/>
      <c r="P5" s="239"/>
      <c r="Q5" s="240"/>
      <c r="R5" s="221"/>
    </row>
    <row r="6" spans="1:18" s="28"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31" t="s">
        <v>16</v>
      </c>
      <c r="P6" s="31" t="s">
        <v>16</v>
      </c>
      <c r="Q6" s="32" t="s">
        <v>16</v>
      </c>
      <c r="R6" s="9"/>
    </row>
    <row r="7" spans="1:18" ht="15.75" customHeight="1">
      <c r="A7" s="11" t="s">
        <v>19</v>
      </c>
      <c r="B7" s="132">
        <f>_xlfn.COMPOUNDVALUE(417)</f>
        <v>3480</v>
      </c>
      <c r="C7" s="133">
        <v>10891374</v>
      </c>
      <c r="D7" s="132">
        <f>_xlfn.COMPOUNDVALUE(418)</f>
        <v>2490</v>
      </c>
      <c r="E7" s="133">
        <v>798603</v>
      </c>
      <c r="F7" s="132">
        <f>_xlfn.COMPOUNDVALUE(419)</f>
        <v>5970</v>
      </c>
      <c r="G7" s="133">
        <v>11689977</v>
      </c>
      <c r="H7" s="132">
        <f>_xlfn.COMPOUNDVALUE(420)</f>
        <v>163</v>
      </c>
      <c r="I7" s="134">
        <v>320399</v>
      </c>
      <c r="J7" s="132">
        <v>390</v>
      </c>
      <c r="K7" s="134">
        <v>134955</v>
      </c>
      <c r="L7" s="132">
        <f>_xlfn.COMPOUNDVALUE(420)</f>
        <v>6243</v>
      </c>
      <c r="M7" s="134">
        <v>11504533</v>
      </c>
      <c r="N7" s="132">
        <v>6287</v>
      </c>
      <c r="O7" s="153">
        <v>150</v>
      </c>
      <c r="P7" s="153">
        <v>15</v>
      </c>
      <c r="Q7" s="154">
        <v>6452</v>
      </c>
      <c r="R7" s="12" t="s">
        <v>98</v>
      </c>
    </row>
    <row r="8" spans="1:18" ht="15.75" customHeight="1">
      <c r="A8" s="13" t="s">
        <v>20</v>
      </c>
      <c r="B8" s="135">
        <f>_xlfn.COMPOUNDVALUE(421)</f>
        <v>2127</v>
      </c>
      <c r="C8" s="136">
        <v>5739287</v>
      </c>
      <c r="D8" s="135">
        <f>_xlfn.COMPOUNDVALUE(422)</f>
        <v>1653</v>
      </c>
      <c r="E8" s="136">
        <v>487899</v>
      </c>
      <c r="F8" s="135">
        <f>_xlfn.COMPOUNDVALUE(423)</f>
        <v>3780</v>
      </c>
      <c r="G8" s="136">
        <v>6227185</v>
      </c>
      <c r="H8" s="135">
        <f>_xlfn.COMPOUNDVALUE(424)</f>
        <v>80</v>
      </c>
      <c r="I8" s="137">
        <v>329657</v>
      </c>
      <c r="J8" s="135">
        <v>182</v>
      </c>
      <c r="K8" s="137">
        <v>23712</v>
      </c>
      <c r="L8" s="135">
        <f>_xlfn.COMPOUNDVALUE(424)</f>
        <v>3907</v>
      </c>
      <c r="M8" s="137">
        <v>5921240</v>
      </c>
      <c r="N8" s="132">
        <v>3866</v>
      </c>
      <c r="O8" s="153">
        <v>72</v>
      </c>
      <c r="P8" s="153">
        <v>6</v>
      </c>
      <c r="Q8" s="154">
        <v>3944</v>
      </c>
      <c r="R8" s="14" t="s">
        <v>99</v>
      </c>
    </row>
    <row r="9" spans="1:18" ht="15.75" customHeight="1">
      <c r="A9" s="13" t="s">
        <v>21</v>
      </c>
      <c r="B9" s="135">
        <f>_xlfn.COMPOUNDVALUE(425)</f>
        <v>3687</v>
      </c>
      <c r="C9" s="136">
        <v>11981055</v>
      </c>
      <c r="D9" s="135">
        <f>_xlfn.COMPOUNDVALUE(426)</f>
        <v>2709</v>
      </c>
      <c r="E9" s="136">
        <v>814875</v>
      </c>
      <c r="F9" s="135">
        <f>_xlfn.COMPOUNDVALUE(427)</f>
        <v>6396</v>
      </c>
      <c r="G9" s="136">
        <v>12795930</v>
      </c>
      <c r="H9" s="135">
        <f>_xlfn.COMPOUNDVALUE(428)</f>
        <v>241</v>
      </c>
      <c r="I9" s="137">
        <v>1618786</v>
      </c>
      <c r="J9" s="135">
        <v>288</v>
      </c>
      <c r="K9" s="137">
        <v>36901</v>
      </c>
      <c r="L9" s="135">
        <f>_xlfn.COMPOUNDVALUE(428)</f>
        <v>6721</v>
      </c>
      <c r="M9" s="137">
        <v>11214045</v>
      </c>
      <c r="N9" s="132">
        <v>6421</v>
      </c>
      <c r="O9" s="153">
        <v>143</v>
      </c>
      <c r="P9" s="153">
        <v>15</v>
      </c>
      <c r="Q9" s="154">
        <v>6579</v>
      </c>
      <c r="R9" s="14" t="s">
        <v>100</v>
      </c>
    </row>
    <row r="10" spans="1:18" ht="15.75" customHeight="1">
      <c r="A10" s="13" t="s">
        <v>22</v>
      </c>
      <c r="B10" s="135">
        <f>_xlfn.COMPOUNDVALUE(429)</f>
        <v>831</v>
      </c>
      <c r="C10" s="136">
        <v>1960609</v>
      </c>
      <c r="D10" s="135">
        <f>_xlfn.COMPOUNDVALUE(430)</f>
        <v>796</v>
      </c>
      <c r="E10" s="136">
        <v>221043</v>
      </c>
      <c r="F10" s="135">
        <f>_xlfn.COMPOUNDVALUE(431)</f>
        <v>1627</v>
      </c>
      <c r="G10" s="136">
        <v>2181652</v>
      </c>
      <c r="H10" s="135">
        <f>_xlfn.COMPOUNDVALUE(432)</f>
        <v>30</v>
      </c>
      <c r="I10" s="137">
        <v>14972</v>
      </c>
      <c r="J10" s="135">
        <v>99</v>
      </c>
      <c r="K10" s="137">
        <v>6210</v>
      </c>
      <c r="L10" s="135">
        <f>_xlfn.COMPOUNDVALUE(432)</f>
        <v>1682</v>
      </c>
      <c r="M10" s="137">
        <v>2172889</v>
      </c>
      <c r="N10" s="132">
        <v>1704</v>
      </c>
      <c r="O10" s="153">
        <v>20</v>
      </c>
      <c r="P10" s="153">
        <v>2</v>
      </c>
      <c r="Q10" s="154">
        <v>1726</v>
      </c>
      <c r="R10" s="14" t="s">
        <v>101</v>
      </c>
    </row>
    <row r="11" spans="1:18" ht="15.75" customHeight="1">
      <c r="A11" s="13" t="s">
        <v>23</v>
      </c>
      <c r="B11" s="135">
        <f>_xlfn.COMPOUNDVALUE(433)</f>
        <v>1638</v>
      </c>
      <c r="C11" s="136">
        <v>2631134</v>
      </c>
      <c r="D11" s="135">
        <f>_xlfn.COMPOUNDVALUE(434)</f>
        <v>1649</v>
      </c>
      <c r="E11" s="136">
        <v>443082</v>
      </c>
      <c r="F11" s="135">
        <f>_xlfn.COMPOUNDVALUE(435)</f>
        <v>3287</v>
      </c>
      <c r="G11" s="136">
        <v>3074216</v>
      </c>
      <c r="H11" s="135">
        <f>_xlfn.COMPOUNDVALUE(436)</f>
        <v>78</v>
      </c>
      <c r="I11" s="137">
        <v>110189</v>
      </c>
      <c r="J11" s="135">
        <v>194</v>
      </c>
      <c r="K11" s="137">
        <v>15492</v>
      </c>
      <c r="L11" s="135">
        <f>_xlfn.COMPOUNDVALUE(436)</f>
        <v>3405</v>
      </c>
      <c r="M11" s="137">
        <v>2979519</v>
      </c>
      <c r="N11" s="132">
        <v>3554</v>
      </c>
      <c r="O11" s="153">
        <v>54</v>
      </c>
      <c r="P11" s="153">
        <v>7</v>
      </c>
      <c r="Q11" s="154">
        <v>3615</v>
      </c>
      <c r="R11" s="14" t="s">
        <v>102</v>
      </c>
    </row>
    <row r="12" spans="1:18" ht="15.75" customHeight="1">
      <c r="A12" s="13" t="s">
        <v>24</v>
      </c>
      <c r="B12" s="135">
        <f>_xlfn.COMPOUNDVALUE(437)</f>
        <v>2548</v>
      </c>
      <c r="C12" s="136">
        <v>13148179</v>
      </c>
      <c r="D12" s="135">
        <f>_xlfn.COMPOUNDVALUE(438)</f>
        <v>2665</v>
      </c>
      <c r="E12" s="136">
        <v>763900</v>
      </c>
      <c r="F12" s="135">
        <f>_xlfn.COMPOUNDVALUE(439)</f>
        <v>5213</v>
      </c>
      <c r="G12" s="136">
        <v>13912079</v>
      </c>
      <c r="H12" s="135">
        <f>_xlfn.COMPOUNDVALUE(440)</f>
        <v>197</v>
      </c>
      <c r="I12" s="137">
        <v>473040</v>
      </c>
      <c r="J12" s="135">
        <v>259</v>
      </c>
      <c r="K12" s="137">
        <v>23380</v>
      </c>
      <c r="L12" s="135">
        <f>_xlfn.COMPOUNDVALUE(440)</f>
        <v>5468</v>
      </c>
      <c r="M12" s="137">
        <v>13462419</v>
      </c>
      <c r="N12" s="132">
        <v>5403</v>
      </c>
      <c r="O12" s="153">
        <v>95</v>
      </c>
      <c r="P12" s="153">
        <v>16</v>
      </c>
      <c r="Q12" s="154">
        <v>5514</v>
      </c>
      <c r="R12" s="14" t="s">
        <v>103</v>
      </c>
    </row>
    <row r="13" spans="1:18" ht="15.75" customHeight="1">
      <c r="A13" s="13" t="s">
        <v>25</v>
      </c>
      <c r="B13" s="135">
        <f>_xlfn.COMPOUNDVALUE(441)</f>
        <v>889</v>
      </c>
      <c r="C13" s="136">
        <v>1862489</v>
      </c>
      <c r="D13" s="135">
        <f>_xlfn.COMPOUNDVALUE(442)</f>
        <v>846</v>
      </c>
      <c r="E13" s="136">
        <v>233586</v>
      </c>
      <c r="F13" s="135">
        <f>_xlfn.COMPOUNDVALUE(443)</f>
        <v>1735</v>
      </c>
      <c r="G13" s="136">
        <v>2096075</v>
      </c>
      <c r="H13" s="135">
        <f>_xlfn.COMPOUNDVALUE(444)</f>
        <v>33</v>
      </c>
      <c r="I13" s="137">
        <v>1217494</v>
      </c>
      <c r="J13" s="135">
        <v>89</v>
      </c>
      <c r="K13" s="137">
        <v>16395</v>
      </c>
      <c r="L13" s="135">
        <f>_xlfn.COMPOUNDVALUE(444)</f>
        <v>1799</v>
      </c>
      <c r="M13" s="137">
        <v>894977</v>
      </c>
      <c r="N13" s="132">
        <v>1764</v>
      </c>
      <c r="O13" s="153">
        <v>35</v>
      </c>
      <c r="P13" s="153">
        <v>3</v>
      </c>
      <c r="Q13" s="154">
        <v>1802</v>
      </c>
      <c r="R13" s="14" t="s">
        <v>25</v>
      </c>
    </row>
    <row r="14" spans="1:18" ht="15.75" customHeight="1">
      <c r="A14" s="94" t="s">
        <v>26</v>
      </c>
      <c r="B14" s="155">
        <v>15200</v>
      </c>
      <c r="C14" s="156">
        <v>48214127</v>
      </c>
      <c r="D14" s="155">
        <v>12808</v>
      </c>
      <c r="E14" s="156">
        <v>3762987</v>
      </c>
      <c r="F14" s="155">
        <v>28008</v>
      </c>
      <c r="G14" s="156">
        <v>51977114</v>
      </c>
      <c r="H14" s="155">
        <v>822</v>
      </c>
      <c r="I14" s="157">
        <v>4084537</v>
      </c>
      <c r="J14" s="155">
        <v>1501</v>
      </c>
      <c r="K14" s="157">
        <v>257046</v>
      </c>
      <c r="L14" s="155">
        <v>29225</v>
      </c>
      <c r="M14" s="157">
        <v>48149623</v>
      </c>
      <c r="N14" s="155">
        <v>28999</v>
      </c>
      <c r="O14" s="158">
        <v>569</v>
      </c>
      <c r="P14" s="158">
        <v>64</v>
      </c>
      <c r="Q14" s="159">
        <v>29632</v>
      </c>
      <c r="R14" s="96" t="s">
        <v>97</v>
      </c>
    </row>
    <row r="15" spans="1:18" ht="15.75" customHeight="1">
      <c r="A15" s="98"/>
      <c r="B15" s="160"/>
      <c r="C15" s="161"/>
      <c r="D15" s="160"/>
      <c r="E15" s="161"/>
      <c r="F15" s="162"/>
      <c r="G15" s="161"/>
      <c r="H15" s="162"/>
      <c r="I15" s="161"/>
      <c r="J15" s="162"/>
      <c r="K15" s="161"/>
      <c r="L15" s="162"/>
      <c r="M15" s="161"/>
      <c r="N15" s="163"/>
      <c r="O15" s="164"/>
      <c r="P15" s="164"/>
      <c r="Q15" s="165"/>
      <c r="R15" s="99"/>
    </row>
    <row r="16" spans="1:18" ht="15.75" customHeight="1">
      <c r="A16" s="100" t="s">
        <v>27</v>
      </c>
      <c r="B16" s="166">
        <f>_xlfn.COMPOUNDVALUE(445)</f>
        <v>5095</v>
      </c>
      <c r="C16" s="167">
        <v>19126656</v>
      </c>
      <c r="D16" s="166">
        <f>_xlfn.COMPOUNDVALUE(446)</f>
        <v>3744</v>
      </c>
      <c r="E16" s="167">
        <v>1261583</v>
      </c>
      <c r="F16" s="166">
        <f>_xlfn.COMPOUNDVALUE(447)</f>
        <v>8839</v>
      </c>
      <c r="G16" s="167">
        <v>20388239</v>
      </c>
      <c r="H16" s="166">
        <f>_xlfn.COMPOUNDVALUE(448)</f>
        <v>319</v>
      </c>
      <c r="I16" s="168">
        <v>683692</v>
      </c>
      <c r="J16" s="166">
        <v>443</v>
      </c>
      <c r="K16" s="168">
        <v>52905</v>
      </c>
      <c r="L16" s="166">
        <f>_xlfn.COMPOUNDVALUE(448)</f>
        <v>9291</v>
      </c>
      <c r="M16" s="168">
        <v>19757452</v>
      </c>
      <c r="N16" s="166">
        <v>9313</v>
      </c>
      <c r="O16" s="169">
        <v>187</v>
      </c>
      <c r="P16" s="169">
        <v>21</v>
      </c>
      <c r="Q16" s="170">
        <v>9521</v>
      </c>
      <c r="R16" s="101" t="s">
        <v>104</v>
      </c>
    </row>
    <row r="17" spans="1:18" ht="15.75" customHeight="1">
      <c r="A17" s="13" t="s">
        <v>28</v>
      </c>
      <c r="B17" s="135">
        <f>_xlfn.COMPOUNDVALUE(449)</f>
        <v>896</v>
      </c>
      <c r="C17" s="136">
        <v>2043748</v>
      </c>
      <c r="D17" s="135">
        <f>_xlfn.COMPOUNDVALUE(450)</f>
        <v>684</v>
      </c>
      <c r="E17" s="136">
        <v>240154</v>
      </c>
      <c r="F17" s="135">
        <f>_xlfn.COMPOUNDVALUE(451)</f>
        <v>1580</v>
      </c>
      <c r="G17" s="136">
        <v>2283901</v>
      </c>
      <c r="H17" s="135">
        <f>_xlfn.COMPOUNDVALUE(452)</f>
        <v>89</v>
      </c>
      <c r="I17" s="137">
        <v>1005708</v>
      </c>
      <c r="J17" s="135">
        <v>83</v>
      </c>
      <c r="K17" s="137">
        <v>18466</v>
      </c>
      <c r="L17" s="135">
        <f>_xlfn.COMPOUNDVALUE(452)</f>
        <v>1695</v>
      </c>
      <c r="M17" s="137">
        <v>1296659</v>
      </c>
      <c r="N17" s="132">
        <v>1850</v>
      </c>
      <c r="O17" s="153">
        <v>24</v>
      </c>
      <c r="P17" s="153">
        <v>7</v>
      </c>
      <c r="Q17" s="154">
        <v>1881</v>
      </c>
      <c r="R17" s="14" t="s">
        <v>105</v>
      </c>
    </row>
    <row r="18" spans="1:18" ht="15.75" customHeight="1">
      <c r="A18" s="13" t="s">
        <v>29</v>
      </c>
      <c r="B18" s="135">
        <f>_xlfn.COMPOUNDVALUE(453)</f>
        <v>712</v>
      </c>
      <c r="C18" s="136">
        <v>2403010</v>
      </c>
      <c r="D18" s="135">
        <f>_xlfn.COMPOUNDVALUE(454)</f>
        <v>461</v>
      </c>
      <c r="E18" s="136">
        <v>185842</v>
      </c>
      <c r="F18" s="135">
        <f>_xlfn.COMPOUNDVALUE(455)</f>
        <v>1173</v>
      </c>
      <c r="G18" s="136">
        <v>2588852</v>
      </c>
      <c r="H18" s="135">
        <f>_xlfn.COMPOUNDVALUE(456)</f>
        <v>106</v>
      </c>
      <c r="I18" s="137">
        <v>836045</v>
      </c>
      <c r="J18" s="135">
        <v>55</v>
      </c>
      <c r="K18" s="137">
        <v>1564</v>
      </c>
      <c r="L18" s="135">
        <f>_xlfn.COMPOUNDVALUE(456)</f>
        <v>1299</v>
      </c>
      <c r="M18" s="137">
        <v>1754371</v>
      </c>
      <c r="N18" s="132">
        <v>1441</v>
      </c>
      <c r="O18" s="153">
        <v>58</v>
      </c>
      <c r="P18" s="153">
        <v>9</v>
      </c>
      <c r="Q18" s="154">
        <v>1508</v>
      </c>
      <c r="R18" s="14" t="s">
        <v>106</v>
      </c>
    </row>
    <row r="19" spans="1:18" ht="15.75" customHeight="1">
      <c r="A19" s="13" t="s">
        <v>30</v>
      </c>
      <c r="B19" s="135">
        <f>_xlfn.COMPOUNDVALUE(457)</f>
        <v>1385</v>
      </c>
      <c r="C19" s="136">
        <v>4174454</v>
      </c>
      <c r="D19" s="135">
        <f>_xlfn.COMPOUNDVALUE(458)</f>
        <v>1106</v>
      </c>
      <c r="E19" s="136">
        <v>349840</v>
      </c>
      <c r="F19" s="135">
        <f>_xlfn.COMPOUNDVALUE(459)</f>
        <v>2491</v>
      </c>
      <c r="G19" s="136">
        <v>4524294</v>
      </c>
      <c r="H19" s="135">
        <f>_xlfn.COMPOUNDVALUE(460)</f>
        <v>164</v>
      </c>
      <c r="I19" s="137">
        <v>128055</v>
      </c>
      <c r="J19" s="135">
        <v>121</v>
      </c>
      <c r="K19" s="137">
        <v>15708</v>
      </c>
      <c r="L19" s="135">
        <f>_xlfn.COMPOUNDVALUE(460)</f>
        <v>2695</v>
      </c>
      <c r="M19" s="137">
        <v>4411947</v>
      </c>
      <c r="N19" s="132">
        <v>2673</v>
      </c>
      <c r="O19" s="153">
        <v>57</v>
      </c>
      <c r="P19" s="153">
        <v>6</v>
      </c>
      <c r="Q19" s="154">
        <v>2736</v>
      </c>
      <c r="R19" s="14" t="s">
        <v>107</v>
      </c>
    </row>
    <row r="20" spans="1:18" ht="15.75" customHeight="1">
      <c r="A20" s="13" t="s">
        <v>31</v>
      </c>
      <c r="B20" s="135">
        <f>_xlfn.COMPOUNDVALUE(461)</f>
        <v>2025</v>
      </c>
      <c r="C20" s="136">
        <v>7365633</v>
      </c>
      <c r="D20" s="135">
        <f>_xlfn.COMPOUNDVALUE(462)</f>
        <v>1375</v>
      </c>
      <c r="E20" s="136">
        <v>442119</v>
      </c>
      <c r="F20" s="135">
        <f>_xlfn.COMPOUNDVALUE(463)</f>
        <v>3400</v>
      </c>
      <c r="G20" s="136">
        <v>7807752</v>
      </c>
      <c r="H20" s="135">
        <f>_xlfn.COMPOUNDVALUE(464)</f>
        <v>128</v>
      </c>
      <c r="I20" s="137">
        <v>264202</v>
      </c>
      <c r="J20" s="135">
        <v>228</v>
      </c>
      <c r="K20" s="137">
        <v>13991</v>
      </c>
      <c r="L20" s="135">
        <f>_xlfn.COMPOUNDVALUE(464)</f>
        <v>3590</v>
      </c>
      <c r="M20" s="137">
        <v>7557541</v>
      </c>
      <c r="N20" s="132">
        <v>3580</v>
      </c>
      <c r="O20" s="153">
        <v>77</v>
      </c>
      <c r="P20" s="153">
        <v>8</v>
      </c>
      <c r="Q20" s="154">
        <v>3665</v>
      </c>
      <c r="R20" s="14" t="s">
        <v>108</v>
      </c>
    </row>
    <row r="21" spans="1:18" ht="15.75" customHeight="1">
      <c r="A21" s="13" t="s">
        <v>32</v>
      </c>
      <c r="B21" s="135">
        <f>_xlfn.COMPOUNDVALUE(465)</f>
        <v>785</v>
      </c>
      <c r="C21" s="136">
        <v>1391093</v>
      </c>
      <c r="D21" s="135">
        <f>_xlfn.COMPOUNDVALUE(466)</f>
        <v>459</v>
      </c>
      <c r="E21" s="136">
        <v>156506</v>
      </c>
      <c r="F21" s="135">
        <f>_xlfn.COMPOUNDVALUE(467)</f>
        <v>1244</v>
      </c>
      <c r="G21" s="136">
        <v>1547599</v>
      </c>
      <c r="H21" s="135">
        <f>_xlfn.COMPOUNDVALUE(468)</f>
        <v>75</v>
      </c>
      <c r="I21" s="137">
        <v>240040</v>
      </c>
      <c r="J21" s="135">
        <v>71</v>
      </c>
      <c r="K21" s="137">
        <v>14667</v>
      </c>
      <c r="L21" s="135">
        <f>_xlfn.COMPOUNDVALUE(468)</f>
        <v>1339</v>
      </c>
      <c r="M21" s="137">
        <v>1322226</v>
      </c>
      <c r="N21" s="132">
        <v>1327</v>
      </c>
      <c r="O21" s="153">
        <v>31</v>
      </c>
      <c r="P21" s="153">
        <v>4</v>
      </c>
      <c r="Q21" s="154">
        <v>1362</v>
      </c>
      <c r="R21" s="14" t="s">
        <v>109</v>
      </c>
    </row>
    <row r="22" spans="1:18" ht="15.75" customHeight="1">
      <c r="A22" s="13" t="s">
        <v>33</v>
      </c>
      <c r="B22" s="135">
        <f>_xlfn.COMPOUNDVALUE(469)</f>
        <v>1327</v>
      </c>
      <c r="C22" s="136">
        <v>3894572</v>
      </c>
      <c r="D22" s="135">
        <f>_xlfn.COMPOUNDVALUE(470)</f>
        <v>1072</v>
      </c>
      <c r="E22" s="136">
        <v>321086</v>
      </c>
      <c r="F22" s="135">
        <f>_xlfn.COMPOUNDVALUE(471)</f>
        <v>2399</v>
      </c>
      <c r="G22" s="136">
        <v>4215658</v>
      </c>
      <c r="H22" s="135">
        <f>_xlfn.COMPOUNDVALUE(472)</f>
        <v>110</v>
      </c>
      <c r="I22" s="137">
        <v>187519</v>
      </c>
      <c r="J22" s="135">
        <v>162</v>
      </c>
      <c r="K22" s="137">
        <v>28663</v>
      </c>
      <c r="L22" s="135">
        <f>_xlfn.COMPOUNDVALUE(472)</f>
        <v>2565</v>
      </c>
      <c r="M22" s="137">
        <v>4056803</v>
      </c>
      <c r="N22" s="132">
        <v>2523</v>
      </c>
      <c r="O22" s="153">
        <v>40</v>
      </c>
      <c r="P22" s="153">
        <v>10</v>
      </c>
      <c r="Q22" s="154">
        <v>2573</v>
      </c>
      <c r="R22" s="14" t="s">
        <v>110</v>
      </c>
    </row>
    <row r="23" spans="1:18" ht="15.75" customHeight="1">
      <c r="A23" s="13" t="s">
        <v>34</v>
      </c>
      <c r="B23" s="135">
        <f>_xlfn.COMPOUNDVALUE(473)</f>
        <v>801</v>
      </c>
      <c r="C23" s="136">
        <v>2136732</v>
      </c>
      <c r="D23" s="135">
        <f>_xlfn.COMPOUNDVALUE(474)</f>
        <v>619</v>
      </c>
      <c r="E23" s="136">
        <v>195808</v>
      </c>
      <c r="F23" s="135">
        <f>_xlfn.COMPOUNDVALUE(475)</f>
        <v>1420</v>
      </c>
      <c r="G23" s="136">
        <v>2332540</v>
      </c>
      <c r="H23" s="135">
        <f>_xlfn.COMPOUNDVALUE(476)</f>
        <v>83</v>
      </c>
      <c r="I23" s="137">
        <v>394738</v>
      </c>
      <c r="J23" s="135">
        <v>91</v>
      </c>
      <c r="K23" s="137">
        <v>33454</v>
      </c>
      <c r="L23" s="135">
        <f>_xlfn.COMPOUNDVALUE(476)</f>
        <v>1550</v>
      </c>
      <c r="M23" s="137">
        <v>1971256</v>
      </c>
      <c r="N23" s="132">
        <v>1618</v>
      </c>
      <c r="O23" s="153">
        <v>57</v>
      </c>
      <c r="P23" s="153">
        <v>7</v>
      </c>
      <c r="Q23" s="154">
        <v>1682</v>
      </c>
      <c r="R23" s="14" t="s">
        <v>111</v>
      </c>
    </row>
    <row r="24" spans="1:18" ht="15.75" customHeight="1">
      <c r="A24" s="13" t="s">
        <v>35</v>
      </c>
      <c r="B24" s="135">
        <f>_xlfn.COMPOUNDVALUE(477)</f>
        <v>773</v>
      </c>
      <c r="C24" s="136">
        <v>1644974</v>
      </c>
      <c r="D24" s="135">
        <f>_xlfn.COMPOUNDVALUE(478)</f>
        <v>566</v>
      </c>
      <c r="E24" s="136">
        <v>164130</v>
      </c>
      <c r="F24" s="135">
        <f>_xlfn.COMPOUNDVALUE(479)</f>
        <v>1339</v>
      </c>
      <c r="G24" s="136">
        <v>1809104</v>
      </c>
      <c r="H24" s="135">
        <f>_xlfn.COMPOUNDVALUE(480)</f>
        <v>60</v>
      </c>
      <c r="I24" s="137">
        <v>52976</v>
      </c>
      <c r="J24" s="135">
        <v>25</v>
      </c>
      <c r="K24" s="137">
        <v>5462</v>
      </c>
      <c r="L24" s="135">
        <f>_xlfn.COMPOUNDVALUE(480)</f>
        <v>1406</v>
      </c>
      <c r="M24" s="137">
        <v>1761590</v>
      </c>
      <c r="N24" s="132">
        <v>1354</v>
      </c>
      <c r="O24" s="153">
        <v>42</v>
      </c>
      <c r="P24" s="153">
        <v>3</v>
      </c>
      <c r="Q24" s="154">
        <v>1399</v>
      </c>
      <c r="R24" s="14" t="s">
        <v>112</v>
      </c>
    </row>
    <row r="25" spans="1:18" ht="15.75" customHeight="1">
      <c r="A25" s="97" t="s">
        <v>92</v>
      </c>
      <c r="B25" s="155">
        <v>13799</v>
      </c>
      <c r="C25" s="156">
        <v>44180871</v>
      </c>
      <c r="D25" s="155">
        <v>10086</v>
      </c>
      <c r="E25" s="156">
        <v>3317068</v>
      </c>
      <c r="F25" s="155">
        <v>23885</v>
      </c>
      <c r="G25" s="156">
        <v>47497939</v>
      </c>
      <c r="H25" s="155">
        <v>1134</v>
      </c>
      <c r="I25" s="157">
        <v>3792973</v>
      </c>
      <c r="J25" s="155">
        <v>1279</v>
      </c>
      <c r="K25" s="157">
        <v>184880</v>
      </c>
      <c r="L25" s="155">
        <v>25430</v>
      </c>
      <c r="M25" s="157">
        <v>43889845</v>
      </c>
      <c r="N25" s="155">
        <v>25679</v>
      </c>
      <c r="O25" s="158">
        <v>573</v>
      </c>
      <c r="P25" s="158">
        <v>75</v>
      </c>
      <c r="Q25" s="159">
        <v>26327</v>
      </c>
      <c r="R25" s="96" t="s">
        <v>113</v>
      </c>
    </row>
    <row r="26" spans="1:18" ht="15.75" customHeight="1">
      <c r="A26" s="98"/>
      <c r="B26" s="160"/>
      <c r="C26" s="161"/>
      <c r="D26" s="160"/>
      <c r="E26" s="161"/>
      <c r="F26" s="162"/>
      <c r="G26" s="161"/>
      <c r="H26" s="162"/>
      <c r="I26" s="161"/>
      <c r="J26" s="162"/>
      <c r="K26" s="161"/>
      <c r="L26" s="162"/>
      <c r="M26" s="161"/>
      <c r="N26" s="163"/>
      <c r="O26" s="164"/>
      <c r="P26" s="164"/>
      <c r="Q26" s="165"/>
      <c r="R26" s="99"/>
    </row>
    <row r="27" spans="1:18" ht="15.75" customHeight="1">
      <c r="A27" s="100" t="s">
        <v>37</v>
      </c>
      <c r="B27" s="166">
        <f>_xlfn.COMPOUNDVALUE(481)</f>
        <v>6332</v>
      </c>
      <c r="C27" s="167">
        <v>40346017</v>
      </c>
      <c r="D27" s="166">
        <f>_xlfn.COMPOUNDVALUE(482)</f>
        <v>4384</v>
      </c>
      <c r="E27" s="167">
        <v>1587985</v>
      </c>
      <c r="F27" s="166">
        <f>_xlfn.COMPOUNDVALUE(483)</f>
        <v>10716</v>
      </c>
      <c r="G27" s="167">
        <v>41934001</v>
      </c>
      <c r="H27" s="166">
        <f>_xlfn.COMPOUNDVALUE(484)</f>
        <v>370</v>
      </c>
      <c r="I27" s="168">
        <v>1147715</v>
      </c>
      <c r="J27" s="166">
        <v>974</v>
      </c>
      <c r="K27" s="168">
        <v>329819</v>
      </c>
      <c r="L27" s="166">
        <f>_xlfn.COMPOUNDVALUE(484)</f>
        <v>11428</v>
      </c>
      <c r="M27" s="168">
        <v>41116105</v>
      </c>
      <c r="N27" s="166">
        <v>11738</v>
      </c>
      <c r="O27" s="169">
        <v>331</v>
      </c>
      <c r="P27" s="169">
        <v>62</v>
      </c>
      <c r="Q27" s="170">
        <v>12131</v>
      </c>
      <c r="R27" s="101" t="s">
        <v>114</v>
      </c>
    </row>
    <row r="28" spans="1:18" ht="15.75" customHeight="1">
      <c r="A28" s="13" t="s">
        <v>38</v>
      </c>
      <c r="B28" s="135">
        <f>_xlfn.COMPOUNDVALUE(485)</f>
        <v>5369</v>
      </c>
      <c r="C28" s="136">
        <v>32674841</v>
      </c>
      <c r="D28" s="135">
        <f>_xlfn.COMPOUNDVALUE(486)</f>
        <v>2853</v>
      </c>
      <c r="E28" s="136">
        <v>1134095</v>
      </c>
      <c r="F28" s="135">
        <f>_xlfn.COMPOUNDVALUE(487)</f>
        <v>8222</v>
      </c>
      <c r="G28" s="136">
        <v>33808936</v>
      </c>
      <c r="H28" s="135">
        <f>_xlfn.COMPOUNDVALUE(488)</f>
        <v>265</v>
      </c>
      <c r="I28" s="137">
        <v>979049</v>
      </c>
      <c r="J28" s="135">
        <v>536</v>
      </c>
      <c r="K28" s="137">
        <v>94782</v>
      </c>
      <c r="L28" s="135">
        <f>_xlfn.COMPOUNDVALUE(488)</f>
        <v>8599</v>
      </c>
      <c r="M28" s="137">
        <v>32924670</v>
      </c>
      <c r="N28" s="132">
        <v>9014</v>
      </c>
      <c r="O28" s="153">
        <v>244</v>
      </c>
      <c r="P28" s="153">
        <v>73</v>
      </c>
      <c r="Q28" s="154">
        <v>9331</v>
      </c>
      <c r="R28" s="14" t="s">
        <v>115</v>
      </c>
    </row>
    <row r="29" spans="1:18" ht="15.75" customHeight="1">
      <c r="A29" s="13" t="s">
        <v>39</v>
      </c>
      <c r="B29" s="135">
        <f>_xlfn.COMPOUNDVALUE(489)</f>
        <v>3078</v>
      </c>
      <c r="C29" s="136">
        <v>11061304</v>
      </c>
      <c r="D29" s="135">
        <f>_xlfn.COMPOUNDVALUE(490)</f>
        <v>2414</v>
      </c>
      <c r="E29" s="136">
        <v>813994</v>
      </c>
      <c r="F29" s="135">
        <f>_xlfn.COMPOUNDVALUE(491)</f>
        <v>5492</v>
      </c>
      <c r="G29" s="136">
        <v>11875298</v>
      </c>
      <c r="H29" s="135">
        <f>_xlfn.COMPOUNDVALUE(492)</f>
        <v>161</v>
      </c>
      <c r="I29" s="137">
        <v>329111</v>
      </c>
      <c r="J29" s="135">
        <v>471</v>
      </c>
      <c r="K29" s="137">
        <v>48157</v>
      </c>
      <c r="L29" s="135">
        <f>_xlfn.COMPOUNDVALUE(492)</f>
        <v>5803</v>
      </c>
      <c r="M29" s="137">
        <v>11594345</v>
      </c>
      <c r="N29" s="132">
        <v>6232</v>
      </c>
      <c r="O29" s="153">
        <v>136</v>
      </c>
      <c r="P29" s="153">
        <v>21</v>
      </c>
      <c r="Q29" s="154">
        <v>6389</v>
      </c>
      <c r="R29" s="14" t="s">
        <v>116</v>
      </c>
    </row>
    <row r="30" spans="1:18" ht="15.75" customHeight="1">
      <c r="A30" s="13" t="s">
        <v>40</v>
      </c>
      <c r="B30" s="135">
        <f>_xlfn.COMPOUNDVALUE(493)</f>
        <v>2504</v>
      </c>
      <c r="C30" s="136">
        <v>6408839</v>
      </c>
      <c r="D30" s="135">
        <f>_xlfn.COMPOUNDVALUE(494)</f>
        <v>1926</v>
      </c>
      <c r="E30" s="136">
        <v>697884</v>
      </c>
      <c r="F30" s="135">
        <f>_xlfn.COMPOUNDVALUE(495)</f>
        <v>4430</v>
      </c>
      <c r="G30" s="136">
        <v>7106723</v>
      </c>
      <c r="H30" s="135">
        <f>_xlfn.COMPOUNDVALUE(496)</f>
        <v>317</v>
      </c>
      <c r="I30" s="137">
        <v>2418196</v>
      </c>
      <c r="J30" s="135">
        <v>217</v>
      </c>
      <c r="K30" s="137">
        <v>32953</v>
      </c>
      <c r="L30" s="135">
        <f>_xlfn.COMPOUNDVALUE(496)</f>
        <v>4871</v>
      </c>
      <c r="M30" s="137">
        <v>4721480</v>
      </c>
      <c r="N30" s="132">
        <v>5338</v>
      </c>
      <c r="O30" s="153">
        <v>116</v>
      </c>
      <c r="P30" s="153">
        <v>40</v>
      </c>
      <c r="Q30" s="154">
        <v>5494</v>
      </c>
      <c r="R30" s="14" t="s">
        <v>117</v>
      </c>
    </row>
    <row r="31" spans="1:18" ht="15.75" customHeight="1">
      <c r="A31" s="13" t="s">
        <v>41</v>
      </c>
      <c r="B31" s="135">
        <f>_xlfn.COMPOUNDVALUE(497)</f>
        <v>1869</v>
      </c>
      <c r="C31" s="136">
        <v>4280290</v>
      </c>
      <c r="D31" s="135">
        <f>_xlfn.COMPOUNDVALUE(498)</f>
        <v>1387</v>
      </c>
      <c r="E31" s="136">
        <v>455076</v>
      </c>
      <c r="F31" s="135">
        <f>_xlfn.COMPOUNDVALUE(499)</f>
        <v>3256</v>
      </c>
      <c r="G31" s="136">
        <v>4735365</v>
      </c>
      <c r="H31" s="135">
        <f>_xlfn.COMPOUNDVALUE(500)</f>
        <v>148</v>
      </c>
      <c r="I31" s="137">
        <v>489784</v>
      </c>
      <c r="J31" s="135">
        <v>318</v>
      </c>
      <c r="K31" s="137">
        <v>33834</v>
      </c>
      <c r="L31" s="135">
        <f>_xlfn.COMPOUNDVALUE(500)</f>
        <v>3496</v>
      </c>
      <c r="M31" s="137">
        <v>4279415</v>
      </c>
      <c r="N31" s="132">
        <v>3526</v>
      </c>
      <c r="O31" s="153">
        <v>81</v>
      </c>
      <c r="P31" s="153">
        <v>10</v>
      </c>
      <c r="Q31" s="154">
        <v>3617</v>
      </c>
      <c r="R31" s="14" t="s">
        <v>118</v>
      </c>
    </row>
    <row r="32" spans="1:18" ht="15.75" customHeight="1">
      <c r="A32" s="13" t="s">
        <v>42</v>
      </c>
      <c r="B32" s="135">
        <f>_xlfn.COMPOUNDVALUE(501)</f>
        <v>2205</v>
      </c>
      <c r="C32" s="136">
        <v>5071281</v>
      </c>
      <c r="D32" s="135">
        <f>_xlfn.COMPOUNDVALUE(502)</f>
        <v>2029</v>
      </c>
      <c r="E32" s="136">
        <v>624112</v>
      </c>
      <c r="F32" s="135">
        <f>_xlfn.COMPOUNDVALUE(503)</f>
        <v>4234</v>
      </c>
      <c r="G32" s="136">
        <v>5695393</v>
      </c>
      <c r="H32" s="135">
        <f>_xlfn.COMPOUNDVALUE(504)</f>
        <v>202</v>
      </c>
      <c r="I32" s="137">
        <v>265346</v>
      </c>
      <c r="J32" s="135">
        <v>230</v>
      </c>
      <c r="K32" s="137">
        <v>32791</v>
      </c>
      <c r="L32" s="135">
        <f>_xlfn.COMPOUNDVALUE(504)</f>
        <v>4539</v>
      </c>
      <c r="M32" s="137">
        <v>5462839</v>
      </c>
      <c r="N32" s="132">
        <v>4686</v>
      </c>
      <c r="O32" s="153">
        <v>91</v>
      </c>
      <c r="P32" s="153">
        <v>13</v>
      </c>
      <c r="Q32" s="154">
        <v>4790</v>
      </c>
      <c r="R32" s="14" t="s">
        <v>119</v>
      </c>
    </row>
    <row r="33" spans="1:18" ht="15.75" customHeight="1">
      <c r="A33" s="13" t="s">
        <v>43</v>
      </c>
      <c r="B33" s="135">
        <f>_xlfn.COMPOUNDVALUE(505)</f>
        <v>948</v>
      </c>
      <c r="C33" s="136">
        <v>2269212</v>
      </c>
      <c r="D33" s="135">
        <f>_xlfn.COMPOUNDVALUE(506)</f>
        <v>622</v>
      </c>
      <c r="E33" s="136">
        <v>245202</v>
      </c>
      <c r="F33" s="135">
        <f>_xlfn.COMPOUNDVALUE(507)</f>
        <v>1570</v>
      </c>
      <c r="G33" s="136">
        <v>2514414</v>
      </c>
      <c r="H33" s="135">
        <f>_xlfn.COMPOUNDVALUE(508)</f>
        <v>163</v>
      </c>
      <c r="I33" s="137">
        <v>1075725</v>
      </c>
      <c r="J33" s="135">
        <v>135</v>
      </c>
      <c r="K33" s="137">
        <v>-24834</v>
      </c>
      <c r="L33" s="135">
        <f>_xlfn.COMPOUNDVALUE(508)</f>
        <v>1818</v>
      </c>
      <c r="M33" s="137">
        <v>1413854</v>
      </c>
      <c r="N33" s="132">
        <v>2039</v>
      </c>
      <c r="O33" s="153">
        <v>52</v>
      </c>
      <c r="P33" s="153">
        <v>10</v>
      </c>
      <c r="Q33" s="154">
        <v>2101</v>
      </c>
      <c r="R33" s="14" t="s">
        <v>120</v>
      </c>
    </row>
    <row r="34" spans="1:18" ht="15.75" customHeight="1">
      <c r="A34" s="13" t="s">
        <v>44</v>
      </c>
      <c r="B34" s="135">
        <f>_xlfn.COMPOUNDVALUE(509)</f>
        <v>1707</v>
      </c>
      <c r="C34" s="136">
        <v>3647470</v>
      </c>
      <c r="D34" s="135">
        <f>_xlfn.COMPOUNDVALUE(510)</f>
        <v>1469</v>
      </c>
      <c r="E34" s="136">
        <v>454775</v>
      </c>
      <c r="F34" s="135">
        <f>_xlfn.COMPOUNDVALUE(511)</f>
        <v>3176</v>
      </c>
      <c r="G34" s="136">
        <v>4102245</v>
      </c>
      <c r="H34" s="135">
        <f>_xlfn.COMPOUNDVALUE(512)</f>
        <v>143</v>
      </c>
      <c r="I34" s="137">
        <v>187674</v>
      </c>
      <c r="J34" s="135">
        <v>206</v>
      </c>
      <c r="K34" s="137">
        <v>26299</v>
      </c>
      <c r="L34" s="135">
        <f>_xlfn.COMPOUNDVALUE(512)</f>
        <v>3363</v>
      </c>
      <c r="M34" s="137">
        <v>3940870</v>
      </c>
      <c r="N34" s="132">
        <v>3449</v>
      </c>
      <c r="O34" s="153">
        <v>60</v>
      </c>
      <c r="P34" s="153">
        <v>2</v>
      </c>
      <c r="Q34" s="154">
        <v>3511</v>
      </c>
      <c r="R34" s="14" t="s">
        <v>121</v>
      </c>
    </row>
    <row r="35" spans="1:18" ht="15.75" customHeight="1">
      <c r="A35" s="13" t="s">
        <v>45</v>
      </c>
      <c r="B35" s="135">
        <f>_xlfn.COMPOUNDVALUE(513)</f>
        <v>815</v>
      </c>
      <c r="C35" s="136">
        <v>2072240</v>
      </c>
      <c r="D35" s="135">
        <f>_xlfn.COMPOUNDVALUE(514)</f>
        <v>684</v>
      </c>
      <c r="E35" s="136">
        <v>202675</v>
      </c>
      <c r="F35" s="135">
        <f>_xlfn.COMPOUNDVALUE(515)</f>
        <v>1499</v>
      </c>
      <c r="G35" s="136">
        <v>2274915</v>
      </c>
      <c r="H35" s="135">
        <f>_xlfn.COMPOUNDVALUE(516)</f>
        <v>92</v>
      </c>
      <c r="I35" s="137">
        <v>392891</v>
      </c>
      <c r="J35" s="135">
        <v>124</v>
      </c>
      <c r="K35" s="137">
        <v>3630</v>
      </c>
      <c r="L35" s="135">
        <f>_xlfn.COMPOUNDVALUE(516)</f>
        <v>1622</v>
      </c>
      <c r="M35" s="137">
        <v>1885654</v>
      </c>
      <c r="N35" s="132">
        <v>1646</v>
      </c>
      <c r="O35" s="153">
        <v>39</v>
      </c>
      <c r="P35" s="153">
        <v>2</v>
      </c>
      <c r="Q35" s="154">
        <v>1687</v>
      </c>
      <c r="R35" s="14" t="s">
        <v>122</v>
      </c>
    </row>
    <row r="36" spans="1:18" ht="15.75" customHeight="1">
      <c r="A36" s="13" t="s">
        <v>46</v>
      </c>
      <c r="B36" s="135">
        <f>_xlfn.COMPOUNDVALUE(517)</f>
        <v>1041</v>
      </c>
      <c r="C36" s="136">
        <v>2552510</v>
      </c>
      <c r="D36" s="135">
        <f>_xlfn.COMPOUNDVALUE(518)</f>
        <v>975</v>
      </c>
      <c r="E36" s="136">
        <v>308009</v>
      </c>
      <c r="F36" s="135">
        <f>_xlfn.COMPOUNDVALUE(519)</f>
        <v>2016</v>
      </c>
      <c r="G36" s="136">
        <v>2860519</v>
      </c>
      <c r="H36" s="135">
        <f>_xlfn.COMPOUNDVALUE(520)</f>
        <v>132</v>
      </c>
      <c r="I36" s="137">
        <v>108796</v>
      </c>
      <c r="J36" s="135">
        <v>127</v>
      </c>
      <c r="K36" s="137">
        <v>9582</v>
      </c>
      <c r="L36" s="135">
        <f>_xlfn.COMPOUNDVALUE(520)</f>
        <v>2170</v>
      </c>
      <c r="M36" s="137">
        <v>2761305</v>
      </c>
      <c r="N36" s="132">
        <v>2265</v>
      </c>
      <c r="O36" s="153">
        <v>31</v>
      </c>
      <c r="P36" s="153">
        <v>6</v>
      </c>
      <c r="Q36" s="154">
        <v>2302</v>
      </c>
      <c r="R36" s="14" t="s">
        <v>123</v>
      </c>
    </row>
    <row r="37" spans="1:18" ht="15.75" customHeight="1">
      <c r="A37" s="97" t="s">
        <v>47</v>
      </c>
      <c r="B37" s="155">
        <v>25868</v>
      </c>
      <c r="C37" s="156">
        <v>110384003</v>
      </c>
      <c r="D37" s="155">
        <v>18743</v>
      </c>
      <c r="E37" s="156">
        <v>6523807</v>
      </c>
      <c r="F37" s="155">
        <v>44611</v>
      </c>
      <c r="G37" s="156">
        <v>116907810</v>
      </c>
      <c r="H37" s="155">
        <v>1993</v>
      </c>
      <c r="I37" s="157">
        <v>7394287</v>
      </c>
      <c r="J37" s="155">
        <v>3338</v>
      </c>
      <c r="K37" s="157">
        <v>587014</v>
      </c>
      <c r="L37" s="155">
        <v>47709</v>
      </c>
      <c r="M37" s="157">
        <v>110100537</v>
      </c>
      <c r="N37" s="155">
        <v>49933</v>
      </c>
      <c r="O37" s="158">
        <v>1181</v>
      </c>
      <c r="P37" s="158">
        <v>239</v>
      </c>
      <c r="Q37" s="159">
        <v>51353</v>
      </c>
      <c r="R37" s="96" t="s">
        <v>124</v>
      </c>
    </row>
    <row r="38" spans="1:18" ht="15.75" customHeight="1">
      <c r="A38" s="102"/>
      <c r="B38" s="171"/>
      <c r="C38" s="172"/>
      <c r="D38" s="171"/>
      <c r="E38" s="172"/>
      <c r="F38" s="173"/>
      <c r="G38" s="172"/>
      <c r="H38" s="173"/>
      <c r="I38" s="172"/>
      <c r="J38" s="173"/>
      <c r="K38" s="172"/>
      <c r="L38" s="173"/>
      <c r="M38" s="172"/>
      <c r="N38" s="174"/>
      <c r="O38" s="175"/>
      <c r="P38" s="175"/>
      <c r="Q38" s="176"/>
      <c r="R38" s="103"/>
    </row>
    <row r="39" spans="1:18" ht="15.75" customHeight="1">
      <c r="A39" s="11" t="s">
        <v>48</v>
      </c>
      <c r="B39" s="132">
        <f>_xlfn.COMPOUNDVALUE(521)</f>
        <v>2833</v>
      </c>
      <c r="C39" s="133">
        <v>10110565</v>
      </c>
      <c r="D39" s="132">
        <f>_xlfn.COMPOUNDVALUE(522)</f>
        <v>2001</v>
      </c>
      <c r="E39" s="133">
        <v>658686</v>
      </c>
      <c r="F39" s="132">
        <f>_xlfn.COMPOUNDVALUE(523)</f>
        <v>4834</v>
      </c>
      <c r="G39" s="133">
        <v>10769251</v>
      </c>
      <c r="H39" s="132">
        <f>_xlfn.COMPOUNDVALUE(524)</f>
        <v>139</v>
      </c>
      <c r="I39" s="134">
        <v>823687</v>
      </c>
      <c r="J39" s="132">
        <v>240</v>
      </c>
      <c r="K39" s="134">
        <v>28546</v>
      </c>
      <c r="L39" s="132">
        <f>_xlfn.COMPOUNDVALUE(524)</f>
        <v>5026</v>
      </c>
      <c r="M39" s="134">
        <v>9974110</v>
      </c>
      <c r="N39" s="132">
        <v>5016</v>
      </c>
      <c r="O39" s="153">
        <v>115</v>
      </c>
      <c r="P39" s="153">
        <v>19</v>
      </c>
      <c r="Q39" s="154">
        <v>5150</v>
      </c>
      <c r="R39" s="12" t="s">
        <v>125</v>
      </c>
    </row>
    <row r="40" spans="1:18" ht="15.75" customHeight="1">
      <c r="A40" s="13" t="s">
        <v>49</v>
      </c>
      <c r="B40" s="135">
        <f>_xlfn.COMPOUNDVALUE(525)</f>
        <v>1464</v>
      </c>
      <c r="C40" s="136">
        <v>3846890</v>
      </c>
      <c r="D40" s="135">
        <f>_xlfn.COMPOUNDVALUE(526)</f>
        <v>1717</v>
      </c>
      <c r="E40" s="136">
        <v>496248</v>
      </c>
      <c r="F40" s="135">
        <f>_xlfn.COMPOUNDVALUE(527)</f>
        <v>3181</v>
      </c>
      <c r="G40" s="136">
        <v>4343138</v>
      </c>
      <c r="H40" s="135">
        <f>_xlfn.COMPOUNDVALUE(528)</f>
        <v>79</v>
      </c>
      <c r="I40" s="137">
        <v>158625</v>
      </c>
      <c r="J40" s="135">
        <v>172</v>
      </c>
      <c r="K40" s="137">
        <v>13097</v>
      </c>
      <c r="L40" s="135">
        <f>_xlfn.COMPOUNDVALUE(528)</f>
        <v>3311</v>
      </c>
      <c r="M40" s="137">
        <v>4197610</v>
      </c>
      <c r="N40" s="132">
        <v>3353</v>
      </c>
      <c r="O40" s="153">
        <v>41</v>
      </c>
      <c r="P40" s="153">
        <v>13</v>
      </c>
      <c r="Q40" s="154">
        <v>3407</v>
      </c>
      <c r="R40" s="14" t="s">
        <v>126</v>
      </c>
    </row>
    <row r="41" spans="1:18" ht="15.75" customHeight="1">
      <c r="A41" s="13" t="s">
        <v>50</v>
      </c>
      <c r="B41" s="135">
        <f>_xlfn.COMPOUNDVALUE(529)</f>
        <v>993</v>
      </c>
      <c r="C41" s="136">
        <v>1830957</v>
      </c>
      <c r="D41" s="135">
        <f>_xlfn.COMPOUNDVALUE(530)</f>
        <v>1011</v>
      </c>
      <c r="E41" s="136">
        <v>263112</v>
      </c>
      <c r="F41" s="135">
        <f>_xlfn.COMPOUNDVALUE(531)</f>
        <v>2004</v>
      </c>
      <c r="G41" s="136">
        <v>2094069</v>
      </c>
      <c r="H41" s="135">
        <f>_xlfn.COMPOUNDVALUE(532)</f>
        <v>68</v>
      </c>
      <c r="I41" s="137">
        <v>65344</v>
      </c>
      <c r="J41" s="135">
        <v>114</v>
      </c>
      <c r="K41" s="137">
        <v>8567</v>
      </c>
      <c r="L41" s="135">
        <f>_xlfn.COMPOUNDVALUE(532)</f>
        <v>2092</v>
      </c>
      <c r="M41" s="137">
        <v>2037292</v>
      </c>
      <c r="N41" s="132">
        <v>2069</v>
      </c>
      <c r="O41" s="153">
        <v>48</v>
      </c>
      <c r="P41" s="153">
        <v>6</v>
      </c>
      <c r="Q41" s="154">
        <v>2123</v>
      </c>
      <c r="R41" s="14" t="s">
        <v>127</v>
      </c>
    </row>
    <row r="42" spans="1:18" ht="15.75" customHeight="1">
      <c r="A42" s="13" t="s">
        <v>51</v>
      </c>
      <c r="B42" s="135">
        <f>_xlfn.COMPOUNDVALUE(533)</f>
        <v>1015</v>
      </c>
      <c r="C42" s="136">
        <v>2097201</v>
      </c>
      <c r="D42" s="135">
        <f>_xlfn.COMPOUNDVALUE(534)</f>
        <v>952</v>
      </c>
      <c r="E42" s="136">
        <v>257627</v>
      </c>
      <c r="F42" s="135">
        <f>_xlfn.COMPOUNDVALUE(535)</f>
        <v>1967</v>
      </c>
      <c r="G42" s="136">
        <v>2354827</v>
      </c>
      <c r="H42" s="135">
        <f>_xlfn.COMPOUNDVALUE(536)</f>
        <v>62</v>
      </c>
      <c r="I42" s="137">
        <v>150540</v>
      </c>
      <c r="J42" s="135">
        <v>89</v>
      </c>
      <c r="K42" s="137">
        <v>6960</v>
      </c>
      <c r="L42" s="135">
        <f>_xlfn.COMPOUNDVALUE(536)</f>
        <v>2046</v>
      </c>
      <c r="M42" s="137">
        <v>2211248</v>
      </c>
      <c r="N42" s="132">
        <v>2123</v>
      </c>
      <c r="O42" s="153">
        <v>31</v>
      </c>
      <c r="P42" s="153">
        <v>7</v>
      </c>
      <c r="Q42" s="154">
        <v>2161</v>
      </c>
      <c r="R42" s="14" t="s">
        <v>128</v>
      </c>
    </row>
    <row r="43" spans="1:18" ht="15.75" customHeight="1">
      <c r="A43" s="13" t="s">
        <v>52</v>
      </c>
      <c r="B43" s="135">
        <f>_xlfn.COMPOUNDVALUE(537)</f>
        <v>1571</v>
      </c>
      <c r="C43" s="136">
        <v>4418227</v>
      </c>
      <c r="D43" s="135">
        <f>_xlfn.COMPOUNDVALUE(538)</f>
        <v>1394</v>
      </c>
      <c r="E43" s="136">
        <v>398880</v>
      </c>
      <c r="F43" s="135">
        <f>_xlfn.COMPOUNDVALUE(539)</f>
        <v>2965</v>
      </c>
      <c r="G43" s="136">
        <v>4817107</v>
      </c>
      <c r="H43" s="135">
        <f>_xlfn.COMPOUNDVALUE(540)</f>
        <v>112</v>
      </c>
      <c r="I43" s="137">
        <v>115924</v>
      </c>
      <c r="J43" s="135">
        <v>137</v>
      </c>
      <c r="K43" s="137">
        <v>10464</v>
      </c>
      <c r="L43" s="135">
        <f>_xlfn.COMPOUNDVALUE(540)</f>
        <v>3105</v>
      </c>
      <c r="M43" s="137">
        <v>4711647</v>
      </c>
      <c r="N43" s="132">
        <v>3017</v>
      </c>
      <c r="O43" s="153">
        <v>91</v>
      </c>
      <c r="P43" s="153">
        <v>3</v>
      </c>
      <c r="Q43" s="154">
        <v>3111</v>
      </c>
      <c r="R43" s="14" t="s">
        <v>129</v>
      </c>
    </row>
    <row r="44" spans="1:18" ht="15.75" customHeight="1">
      <c r="A44" s="13" t="s">
        <v>53</v>
      </c>
      <c r="B44" s="135">
        <f>_xlfn.COMPOUNDVALUE(541)</f>
        <v>1094</v>
      </c>
      <c r="C44" s="136">
        <v>3328453</v>
      </c>
      <c r="D44" s="135">
        <f>_xlfn.COMPOUNDVALUE(542)</f>
        <v>1030</v>
      </c>
      <c r="E44" s="136">
        <v>271600</v>
      </c>
      <c r="F44" s="135">
        <f>_xlfn.COMPOUNDVALUE(543)</f>
        <v>2124</v>
      </c>
      <c r="G44" s="136">
        <v>3600053</v>
      </c>
      <c r="H44" s="135">
        <f>_xlfn.COMPOUNDVALUE(544)</f>
        <v>48</v>
      </c>
      <c r="I44" s="137">
        <v>64597</v>
      </c>
      <c r="J44" s="135">
        <v>103</v>
      </c>
      <c r="K44" s="137">
        <v>6229</v>
      </c>
      <c r="L44" s="135">
        <f>_xlfn.COMPOUNDVALUE(544)</f>
        <v>2190</v>
      </c>
      <c r="M44" s="137">
        <v>3541685</v>
      </c>
      <c r="N44" s="132">
        <v>2143</v>
      </c>
      <c r="O44" s="153">
        <v>33</v>
      </c>
      <c r="P44" s="153">
        <v>6</v>
      </c>
      <c r="Q44" s="154">
        <v>2182</v>
      </c>
      <c r="R44" s="14" t="s">
        <v>130</v>
      </c>
    </row>
    <row r="45" spans="1:18" ht="15.75" customHeight="1">
      <c r="A45" s="13" t="s">
        <v>54</v>
      </c>
      <c r="B45" s="135">
        <f>_xlfn.COMPOUNDVALUE(545)</f>
        <v>784</v>
      </c>
      <c r="C45" s="136">
        <v>1837882</v>
      </c>
      <c r="D45" s="135">
        <f>_xlfn.COMPOUNDVALUE(546)</f>
        <v>653</v>
      </c>
      <c r="E45" s="136">
        <v>167593</v>
      </c>
      <c r="F45" s="135">
        <f>_xlfn.COMPOUNDVALUE(547)</f>
        <v>1437</v>
      </c>
      <c r="G45" s="136">
        <v>2005475</v>
      </c>
      <c r="H45" s="135">
        <f>_xlfn.COMPOUNDVALUE(548)</f>
        <v>54</v>
      </c>
      <c r="I45" s="137">
        <v>43198</v>
      </c>
      <c r="J45" s="135">
        <v>44</v>
      </c>
      <c r="K45" s="137">
        <v>7398</v>
      </c>
      <c r="L45" s="135">
        <f>_xlfn.COMPOUNDVALUE(548)</f>
        <v>1512</v>
      </c>
      <c r="M45" s="137">
        <v>1969675</v>
      </c>
      <c r="N45" s="132">
        <v>1458</v>
      </c>
      <c r="O45" s="153">
        <v>33</v>
      </c>
      <c r="P45" s="153">
        <v>2</v>
      </c>
      <c r="Q45" s="154">
        <v>1493</v>
      </c>
      <c r="R45" s="14" t="s">
        <v>131</v>
      </c>
    </row>
    <row r="46" spans="1:18" ht="15.75" customHeight="1">
      <c r="A46" s="13" t="s">
        <v>55</v>
      </c>
      <c r="B46" s="135">
        <f>_xlfn.COMPOUNDVALUE(549)</f>
        <v>1422</v>
      </c>
      <c r="C46" s="136">
        <v>2978385</v>
      </c>
      <c r="D46" s="135">
        <f>_xlfn.COMPOUNDVALUE(550)</f>
        <v>1362</v>
      </c>
      <c r="E46" s="136">
        <v>405331</v>
      </c>
      <c r="F46" s="135">
        <f>_xlfn.COMPOUNDVALUE(551)</f>
        <v>2784</v>
      </c>
      <c r="G46" s="136">
        <v>3383716</v>
      </c>
      <c r="H46" s="135">
        <f>_xlfn.COMPOUNDVALUE(552)</f>
        <v>75</v>
      </c>
      <c r="I46" s="137">
        <v>116574</v>
      </c>
      <c r="J46" s="135">
        <v>117</v>
      </c>
      <c r="K46" s="137">
        <v>20255</v>
      </c>
      <c r="L46" s="135">
        <f>_xlfn.COMPOUNDVALUE(552)</f>
        <v>2885</v>
      </c>
      <c r="M46" s="137">
        <v>3287397</v>
      </c>
      <c r="N46" s="132">
        <v>3024</v>
      </c>
      <c r="O46" s="153">
        <v>49</v>
      </c>
      <c r="P46" s="153">
        <v>2</v>
      </c>
      <c r="Q46" s="154">
        <v>3075</v>
      </c>
      <c r="R46" s="14" t="s">
        <v>132</v>
      </c>
    </row>
    <row r="47" spans="1:18" ht="15.75" customHeight="1">
      <c r="A47" s="97" t="s">
        <v>56</v>
      </c>
      <c r="B47" s="155">
        <v>11176</v>
      </c>
      <c r="C47" s="156">
        <v>30448559</v>
      </c>
      <c r="D47" s="155">
        <v>10120</v>
      </c>
      <c r="E47" s="156">
        <v>2919077</v>
      </c>
      <c r="F47" s="155">
        <v>21296</v>
      </c>
      <c r="G47" s="156">
        <v>33367637</v>
      </c>
      <c r="H47" s="155">
        <v>637</v>
      </c>
      <c r="I47" s="157">
        <v>1538489</v>
      </c>
      <c r="J47" s="155">
        <v>1016</v>
      </c>
      <c r="K47" s="157">
        <v>101517</v>
      </c>
      <c r="L47" s="155">
        <v>22167</v>
      </c>
      <c r="M47" s="157">
        <v>31930664</v>
      </c>
      <c r="N47" s="155">
        <v>22203</v>
      </c>
      <c r="O47" s="158">
        <v>441</v>
      </c>
      <c r="P47" s="158">
        <v>58</v>
      </c>
      <c r="Q47" s="159">
        <v>22702</v>
      </c>
      <c r="R47" s="96" t="s">
        <v>133</v>
      </c>
    </row>
    <row r="48" spans="1:18" ht="15.75" customHeight="1">
      <c r="A48" s="98"/>
      <c r="B48" s="160"/>
      <c r="C48" s="161"/>
      <c r="D48" s="160"/>
      <c r="E48" s="161"/>
      <c r="F48" s="162"/>
      <c r="G48" s="161"/>
      <c r="H48" s="162"/>
      <c r="I48" s="161"/>
      <c r="J48" s="162"/>
      <c r="K48" s="161"/>
      <c r="L48" s="162"/>
      <c r="M48" s="161"/>
      <c r="N48" s="163"/>
      <c r="O48" s="164"/>
      <c r="P48" s="164"/>
      <c r="Q48" s="165"/>
      <c r="R48" s="99"/>
    </row>
    <row r="49" spans="1:18" ht="15.75" customHeight="1">
      <c r="A49" s="100" t="s">
        <v>57</v>
      </c>
      <c r="B49" s="166">
        <f>_xlfn.COMPOUNDVALUE(553)</f>
        <v>4504</v>
      </c>
      <c r="C49" s="167">
        <v>17373750</v>
      </c>
      <c r="D49" s="166">
        <f>_xlfn.COMPOUNDVALUE(554)</f>
        <v>3779</v>
      </c>
      <c r="E49" s="167">
        <v>1128196</v>
      </c>
      <c r="F49" s="166">
        <f>_xlfn.COMPOUNDVALUE(555)</f>
        <v>8283</v>
      </c>
      <c r="G49" s="167">
        <v>18501945</v>
      </c>
      <c r="H49" s="166">
        <f>_xlfn.COMPOUNDVALUE(556)</f>
        <v>162</v>
      </c>
      <c r="I49" s="168">
        <v>498058</v>
      </c>
      <c r="J49" s="166">
        <v>412</v>
      </c>
      <c r="K49" s="168">
        <v>22912</v>
      </c>
      <c r="L49" s="166">
        <f>_xlfn.COMPOUNDVALUE(556)</f>
        <v>8575</v>
      </c>
      <c r="M49" s="168">
        <v>18026799</v>
      </c>
      <c r="N49" s="166">
        <v>8554</v>
      </c>
      <c r="O49" s="169">
        <v>135</v>
      </c>
      <c r="P49" s="169">
        <v>20</v>
      </c>
      <c r="Q49" s="170">
        <v>8709</v>
      </c>
      <c r="R49" s="101" t="s">
        <v>134</v>
      </c>
    </row>
    <row r="50" spans="1:18" ht="15.75" customHeight="1">
      <c r="A50" s="13" t="s">
        <v>58</v>
      </c>
      <c r="B50" s="135">
        <f>_xlfn.COMPOUNDVALUE(557)</f>
        <v>1938</v>
      </c>
      <c r="C50" s="136">
        <v>5923378</v>
      </c>
      <c r="D50" s="135">
        <f>_xlfn.COMPOUNDVALUE(558)</f>
        <v>1718</v>
      </c>
      <c r="E50" s="136">
        <v>501052</v>
      </c>
      <c r="F50" s="135">
        <f>_xlfn.COMPOUNDVALUE(559)</f>
        <v>3656</v>
      </c>
      <c r="G50" s="136">
        <v>6424431</v>
      </c>
      <c r="H50" s="135">
        <f>_xlfn.COMPOUNDVALUE(560)</f>
        <v>96</v>
      </c>
      <c r="I50" s="137">
        <v>481182</v>
      </c>
      <c r="J50" s="135">
        <v>155</v>
      </c>
      <c r="K50" s="137">
        <v>26838</v>
      </c>
      <c r="L50" s="135">
        <f>_xlfn.COMPOUNDVALUE(560)</f>
        <v>3804</v>
      </c>
      <c r="M50" s="137">
        <v>5970086</v>
      </c>
      <c r="N50" s="132">
        <v>3845</v>
      </c>
      <c r="O50" s="153">
        <v>72</v>
      </c>
      <c r="P50" s="153">
        <v>8</v>
      </c>
      <c r="Q50" s="154">
        <v>3925</v>
      </c>
      <c r="R50" s="14" t="s">
        <v>135</v>
      </c>
    </row>
    <row r="51" spans="1:18" ht="15.75" customHeight="1">
      <c r="A51" s="13" t="s">
        <v>59</v>
      </c>
      <c r="B51" s="135">
        <f>_xlfn.COMPOUNDVALUE(561)</f>
        <v>1795</v>
      </c>
      <c r="C51" s="136">
        <v>4830138</v>
      </c>
      <c r="D51" s="135">
        <f>_xlfn.COMPOUNDVALUE(562)</f>
        <v>1803</v>
      </c>
      <c r="E51" s="136">
        <v>490755</v>
      </c>
      <c r="F51" s="135">
        <f>_xlfn.COMPOUNDVALUE(563)</f>
        <v>3598</v>
      </c>
      <c r="G51" s="136">
        <v>5320894</v>
      </c>
      <c r="H51" s="135">
        <f>_xlfn.COMPOUNDVALUE(564)</f>
        <v>108</v>
      </c>
      <c r="I51" s="137">
        <v>107963</v>
      </c>
      <c r="J51" s="135">
        <v>166</v>
      </c>
      <c r="K51" s="137">
        <v>12241</v>
      </c>
      <c r="L51" s="135">
        <f>_xlfn.COMPOUNDVALUE(564)</f>
        <v>3776</v>
      </c>
      <c r="M51" s="137">
        <v>5225172</v>
      </c>
      <c r="N51" s="132">
        <v>3934</v>
      </c>
      <c r="O51" s="153">
        <v>43</v>
      </c>
      <c r="P51" s="153">
        <v>5</v>
      </c>
      <c r="Q51" s="154">
        <v>3982</v>
      </c>
      <c r="R51" s="14" t="s">
        <v>136</v>
      </c>
    </row>
    <row r="52" spans="1:18" ht="15.75" customHeight="1">
      <c r="A52" s="13" t="s">
        <v>60</v>
      </c>
      <c r="B52" s="135">
        <f>_xlfn.COMPOUNDVALUE(565)</f>
        <v>1407</v>
      </c>
      <c r="C52" s="136">
        <v>4382174</v>
      </c>
      <c r="D52" s="135">
        <f>_xlfn.COMPOUNDVALUE(566)</f>
        <v>1419</v>
      </c>
      <c r="E52" s="136">
        <v>397867</v>
      </c>
      <c r="F52" s="135">
        <f>_xlfn.COMPOUNDVALUE(567)</f>
        <v>2826</v>
      </c>
      <c r="G52" s="136">
        <v>4780041</v>
      </c>
      <c r="H52" s="135">
        <f>_xlfn.COMPOUNDVALUE(568)</f>
        <v>83</v>
      </c>
      <c r="I52" s="137">
        <v>90844</v>
      </c>
      <c r="J52" s="135">
        <v>144</v>
      </c>
      <c r="K52" s="137">
        <v>11827</v>
      </c>
      <c r="L52" s="135">
        <f>_xlfn.COMPOUNDVALUE(568)</f>
        <v>2940</v>
      </c>
      <c r="M52" s="137">
        <v>4701024</v>
      </c>
      <c r="N52" s="132">
        <v>2933</v>
      </c>
      <c r="O52" s="153">
        <v>46</v>
      </c>
      <c r="P52" s="153">
        <v>3</v>
      </c>
      <c r="Q52" s="154">
        <v>2982</v>
      </c>
      <c r="R52" s="14" t="s">
        <v>137</v>
      </c>
    </row>
    <row r="53" spans="1:18" ht="15.75" customHeight="1">
      <c r="A53" s="13" t="s">
        <v>61</v>
      </c>
      <c r="B53" s="135">
        <f>_xlfn.COMPOUNDVALUE(569)</f>
        <v>1032</v>
      </c>
      <c r="C53" s="136">
        <v>2164340</v>
      </c>
      <c r="D53" s="135">
        <f>_xlfn.COMPOUNDVALUE(570)</f>
        <v>1018</v>
      </c>
      <c r="E53" s="136">
        <v>291358</v>
      </c>
      <c r="F53" s="135">
        <f>_xlfn.COMPOUNDVALUE(571)</f>
        <v>2050</v>
      </c>
      <c r="G53" s="136">
        <v>2455698</v>
      </c>
      <c r="H53" s="135">
        <f>_xlfn.COMPOUNDVALUE(572)</f>
        <v>47</v>
      </c>
      <c r="I53" s="137">
        <v>92885</v>
      </c>
      <c r="J53" s="135">
        <v>96</v>
      </c>
      <c r="K53" s="137">
        <v>16568</v>
      </c>
      <c r="L53" s="135">
        <f>_xlfn.COMPOUNDVALUE(572)</f>
        <v>2131</v>
      </c>
      <c r="M53" s="137">
        <v>2379381</v>
      </c>
      <c r="N53" s="132">
        <v>2098</v>
      </c>
      <c r="O53" s="153">
        <v>36</v>
      </c>
      <c r="P53" s="153">
        <v>2</v>
      </c>
      <c r="Q53" s="154">
        <v>2136</v>
      </c>
      <c r="R53" s="14" t="s">
        <v>138</v>
      </c>
    </row>
    <row r="54" spans="1:18" ht="15.75" customHeight="1">
      <c r="A54" s="13" t="s">
        <v>62</v>
      </c>
      <c r="B54" s="135">
        <f>_xlfn.COMPOUNDVALUE(573)</f>
        <v>917</v>
      </c>
      <c r="C54" s="136">
        <v>2884817</v>
      </c>
      <c r="D54" s="135">
        <f>_xlfn.COMPOUNDVALUE(574)</f>
        <v>951</v>
      </c>
      <c r="E54" s="136">
        <v>260256</v>
      </c>
      <c r="F54" s="135">
        <f>_xlfn.COMPOUNDVALUE(575)</f>
        <v>1868</v>
      </c>
      <c r="G54" s="136">
        <v>3145073</v>
      </c>
      <c r="H54" s="135">
        <f>_xlfn.COMPOUNDVALUE(576)</f>
        <v>42</v>
      </c>
      <c r="I54" s="137">
        <v>25884</v>
      </c>
      <c r="J54" s="135">
        <v>81</v>
      </c>
      <c r="K54" s="137">
        <v>3430</v>
      </c>
      <c r="L54" s="135">
        <f>_xlfn.COMPOUNDVALUE(576)</f>
        <v>1929</v>
      </c>
      <c r="M54" s="137">
        <v>3122619</v>
      </c>
      <c r="N54" s="132">
        <v>1936</v>
      </c>
      <c r="O54" s="153">
        <v>30</v>
      </c>
      <c r="P54" s="153">
        <v>1</v>
      </c>
      <c r="Q54" s="154">
        <v>1967</v>
      </c>
      <c r="R54" s="14" t="s">
        <v>139</v>
      </c>
    </row>
    <row r="55" spans="1:18" ht="15.75" customHeight="1">
      <c r="A55" s="13" t="s">
        <v>63</v>
      </c>
      <c r="B55" s="135">
        <f>_xlfn.COMPOUNDVALUE(577)</f>
        <v>1138</v>
      </c>
      <c r="C55" s="136">
        <v>3640255</v>
      </c>
      <c r="D55" s="135">
        <f>_xlfn.COMPOUNDVALUE(578)</f>
        <v>1099</v>
      </c>
      <c r="E55" s="136">
        <v>302525</v>
      </c>
      <c r="F55" s="135">
        <f>_xlfn.COMPOUNDVALUE(579)</f>
        <v>2237</v>
      </c>
      <c r="G55" s="136">
        <v>3942780</v>
      </c>
      <c r="H55" s="135">
        <f>_xlfn.COMPOUNDVALUE(580)</f>
        <v>61</v>
      </c>
      <c r="I55" s="137">
        <v>533059</v>
      </c>
      <c r="J55" s="135">
        <v>111</v>
      </c>
      <c r="K55" s="137">
        <v>17001</v>
      </c>
      <c r="L55" s="135">
        <f>_xlfn.COMPOUNDVALUE(580)</f>
        <v>2342</v>
      </c>
      <c r="M55" s="137">
        <v>3426723</v>
      </c>
      <c r="N55" s="132">
        <v>2302</v>
      </c>
      <c r="O55" s="153">
        <v>42</v>
      </c>
      <c r="P55" s="153">
        <v>2</v>
      </c>
      <c r="Q55" s="154">
        <v>2346</v>
      </c>
      <c r="R55" s="14" t="s">
        <v>140</v>
      </c>
    </row>
    <row r="56" spans="1:18" ht="15.75" customHeight="1">
      <c r="A56" s="13" t="s">
        <v>64</v>
      </c>
      <c r="B56" s="135">
        <f>_xlfn.COMPOUNDVALUE(581)</f>
        <v>775</v>
      </c>
      <c r="C56" s="136">
        <v>2004304</v>
      </c>
      <c r="D56" s="135">
        <f>_xlfn.COMPOUNDVALUE(582)</f>
        <v>676</v>
      </c>
      <c r="E56" s="136">
        <v>194211</v>
      </c>
      <c r="F56" s="135">
        <f>_xlfn.COMPOUNDVALUE(583)</f>
        <v>1451</v>
      </c>
      <c r="G56" s="136">
        <v>2198514</v>
      </c>
      <c r="H56" s="135">
        <f>_xlfn.COMPOUNDVALUE(584)</f>
        <v>51</v>
      </c>
      <c r="I56" s="137">
        <v>86744</v>
      </c>
      <c r="J56" s="135">
        <v>64</v>
      </c>
      <c r="K56" s="137">
        <v>7406</v>
      </c>
      <c r="L56" s="135">
        <f>_xlfn.COMPOUNDVALUE(584)</f>
        <v>1519</v>
      </c>
      <c r="M56" s="137">
        <v>2119176</v>
      </c>
      <c r="N56" s="132">
        <v>1489</v>
      </c>
      <c r="O56" s="153">
        <v>31</v>
      </c>
      <c r="P56" s="153">
        <v>4</v>
      </c>
      <c r="Q56" s="154">
        <v>1524</v>
      </c>
      <c r="R56" s="14" t="s">
        <v>141</v>
      </c>
    </row>
    <row r="57" spans="1:18" ht="15.75" customHeight="1">
      <c r="A57" s="97" t="s">
        <v>65</v>
      </c>
      <c r="B57" s="155">
        <v>13506</v>
      </c>
      <c r="C57" s="156">
        <v>43203156</v>
      </c>
      <c r="D57" s="155">
        <v>12463</v>
      </c>
      <c r="E57" s="156">
        <v>3566220</v>
      </c>
      <c r="F57" s="155">
        <v>25969</v>
      </c>
      <c r="G57" s="156">
        <v>46769376</v>
      </c>
      <c r="H57" s="155">
        <v>650</v>
      </c>
      <c r="I57" s="157">
        <v>1916619</v>
      </c>
      <c r="J57" s="155">
        <v>1229</v>
      </c>
      <c r="K57" s="157">
        <v>118224</v>
      </c>
      <c r="L57" s="155">
        <v>27016</v>
      </c>
      <c r="M57" s="157">
        <v>44970980</v>
      </c>
      <c r="N57" s="155">
        <v>27091</v>
      </c>
      <c r="O57" s="158">
        <v>435</v>
      </c>
      <c r="P57" s="158">
        <v>45</v>
      </c>
      <c r="Q57" s="159">
        <v>27571</v>
      </c>
      <c r="R57" s="96" t="s">
        <v>142</v>
      </c>
    </row>
    <row r="58" spans="1:18" ht="15.75" customHeight="1">
      <c r="A58" s="98"/>
      <c r="B58" s="160"/>
      <c r="C58" s="161"/>
      <c r="D58" s="160"/>
      <c r="E58" s="161"/>
      <c r="F58" s="162"/>
      <c r="G58" s="161"/>
      <c r="H58" s="162"/>
      <c r="I58" s="161"/>
      <c r="J58" s="162"/>
      <c r="K58" s="161"/>
      <c r="L58" s="162"/>
      <c r="M58" s="161"/>
      <c r="N58" s="163"/>
      <c r="O58" s="164"/>
      <c r="P58" s="164"/>
      <c r="Q58" s="165"/>
      <c r="R58" s="99" t="s">
        <v>143</v>
      </c>
    </row>
    <row r="59" spans="1:18" ht="15.75" customHeight="1">
      <c r="A59" s="100" t="s">
        <v>66</v>
      </c>
      <c r="B59" s="166">
        <f>_xlfn.COMPOUNDVALUE(585)</f>
        <v>4032</v>
      </c>
      <c r="C59" s="167">
        <v>16509619</v>
      </c>
      <c r="D59" s="166">
        <f>_xlfn.COMPOUNDVALUE(586)</f>
        <v>3212</v>
      </c>
      <c r="E59" s="167">
        <v>1013782</v>
      </c>
      <c r="F59" s="166">
        <f>_xlfn.COMPOUNDVALUE(587)</f>
        <v>7244</v>
      </c>
      <c r="G59" s="167">
        <v>17523401</v>
      </c>
      <c r="H59" s="166">
        <f>_xlfn.COMPOUNDVALUE(588)</f>
        <v>231</v>
      </c>
      <c r="I59" s="168">
        <v>1029393</v>
      </c>
      <c r="J59" s="166">
        <v>472</v>
      </c>
      <c r="K59" s="168">
        <v>96326</v>
      </c>
      <c r="L59" s="166">
        <f>_xlfn.COMPOUNDVALUE(588)</f>
        <v>7611</v>
      </c>
      <c r="M59" s="168">
        <v>16590334</v>
      </c>
      <c r="N59" s="166">
        <v>7816</v>
      </c>
      <c r="O59" s="169">
        <v>159</v>
      </c>
      <c r="P59" s="169">
        <v>18</v>
      </c>
      <c r="Q59" s="170">
        <v>7993</v>
      </c>
      <c r="R59" s="101" t="s">
        <v>144</v>
      </c>
    </row>
    <row r="60" spans="1:18" ht="15.75" customHeight="1">
      <c r="A60" s="11" t="s">
        <v>67</v>
      </c>
      <c r="B60" s="132">
        <f>_xlfn.COMPOUNDVALUE(589)</f>
        <v>2124</v>
      </c>
      <c r="C60" s="133">
        <v>6423662</v>
      </c>
      <c r="D60" s="132">
        <f>_xlfn.COMPOUNDVALUE(590)</f>
        <v>2174</v>
      </c>
      <c r="E60" s="133">
        <v>648920</v>
      </c>
      <c r="F60" s="132">
        <f>_xlfn.COMPOUNDVALUE(591)</f>
        <v>4298</v>
      </c>
      <c r="G60" s="133">
        <v>7072582</v>
      </c>
      <c r="H60" s="132">
        <f>_xlfn.COMPOUNDVALUE(592)</f>
        <v>125</v>
      </c>
      <c r="I60" s="134">
        <v>88840</v>
      </c>
      <c r="J60" s="132">
        <v>227</v>
      </c>
      <c r="K60" s="134">
        <v>30896</v>
      </c>
      <c r="L60" s="132">
        <f>_xlfn.COMPOUNDVALUE(592)</f>
        <v>4485</v>
      </c>
      <c r="M60" s="134">
        <v>7014637</v>
      </c>
      <c r="N60" s="132">
        <v>4531</v>
      </c>
      <c r="O60" s="153">
        <v>84</v>
      </c>
      <c r="P60" s="153">
        <v>16</v>
      </c>
      <c r="Q60" s="154">
        <v>4631</v>
      </c>
      <c r="R60" s="14" t="s">
        <v>145</v>
      </c>
    </row>
    <row r="61" spans="1:18" ht="15.75" customHeight="1">
      <c r="A61" s="11" t="s">
        <v>68</v>
      </c>
      <c r="B61" s="132">
        <f>_xlfn.COMPOUNDVALUE(593)</f>
        <v>4958</v>
      </c>
      <c r="C61" s="133">
        <v>21704107</v>
      </c>
      <c r="D61" s="132">
        <f>_xlfn.COMPOUNDVALUE(594)</f>
        <v>3762</v>
      </c>
      <c r="E61" s="133">
        <v>1349688</v>
      </c>
      <c r="F61" s="132">
        <f>_xlfn.COMPOUNDVALUE(595)</f>
        <v>8720</v>
      </c>
      <c r="G61" s="133">
        <v>23053795</v>
      </c>
      <c r="H61" s="132">
        <f>_xlfn.COMPOUNDVALUE(596)</f>
        <v>332</v>
      </c>
      <c r="I61" s="134">
        <v>906663</v>
      </c>
      <c r="J61" s="132">
        <v>440</v>
      </c>
      <c r="K61" s="134">
        <v>14672</v>
      </c>
      <c r="L61" s="132">
        <f>_xlfn.COMPOUNDVALUE(596)</f>
        <v>9217</v>
      </c>
      <c r="M61" s="134">
        <v>22161804</v>
      </c>
      <c r="N61" s="132">
        <v>9618</v>
      </c>
      <c r="O61" s="153">
        <v>191</v>
      </c>
      <c r="P61" s="153">
        <v>36</v>
      </c>
      <c r="Q61" s="154">
        <v>9845</v>
      </c>
      <c r="R61" s="14" t="s">
        <v>146</v>
      </c>
    </row>
    <row r="62" spans="1:18" ht="15.75" customHeight="1">
      <c r="A62" s="13" t="s">
        <v>69</v>
      </c>
      <c r="B62" s="135">
        <f>_xlfn.COMPOUNDVALUE(597)</f>
        <v>3990</v>
      </c>
      <c r="C62" s="136">
        <v>12934354</v>
      </c>
      <c r="D62" s="135">
        <f>_xlfn.COMPOUNDVALUE(598)</f>
        <v>3034</v>
      </c>
      <c r="E62" s="136">
        <v>1125813</v>
      </c>
      <c r="F62" s="135">
        <f>_xlfn.COMPOUNDVALUE(599)</f>
        <v>7024</v>
      </c>
      <c r="G62" s="136">
        <v>14060167</v>
      </c>
      <c r="H62" s="135">
        <f>_xlfn.COMPOUNDVALUE(600)</f>
        <v>345</v>
      </c>
      <c r="I62" s="137">
        <v>3102886</v>
      </c>
      <c r="J62" s="135">
        <v>471</v>
      </c>
      <c r="K62" s="137">
        <v>111794</v>
      </c>
      <c r="L62" s="135">
        <f>_xlfn.COMPOUNDVALUE(600)</f>
        <v>7490</v>
      </c>
      <c r="M62" s="137">
        <v>11069074</v>
      </c>
      <c r="N62" s="132">
        <v>7784</v>
      </c>
      <c r="O62" s="153">
        <v>168</v>
      </c>
      <c r="P62" s="153">
        <v>27</v>
      </c>
      <c r="Q62" s="154">
        <v>7979</v>
      </c>
      <c r="R62" s="14" t="s">
        <v>69</v>
      </c>
    </row>
    <row r="63" spans="1:18" ht="15.75" customHeight="1">
      <c r="A63" s="13" t="s">
        <v>70</v>
      </c>
      <c r="B63" s="135">
        <f>_xlfn.COMPOUNDVALUE(601)</f>
        <v>1576</v>
      </c>
      <c r="C63" s="136">
        <v>3660438</v>
      </c>
      <c r="D63" s="135">
        <f>_xlfn.COMPOUNDVALUE(602)</f>
        <v>1444</v>
      </c>
      <c r="E63" s="136">
        <v>442733</v>
      </c>
      <c r="F63" s="135">
        <f>_xlfn.COMPOUNDVALUE(603)</f>
        <v>3020</v>
      </c>
      <c r="G63" s="136">
        <v>4103172</v>
      </c>
      <c r="H63" s="135">
        <f>_xlfn.COMPOUNDVALUE(604)</f>
        <v>138</v>
      </c>
      <c r="I63" s="137">
        <v>139715</v>
      </c>
      <c r="J63" s="135">
        <v>128</v>
      </c>
      <c r="K63" s="137">
        <v>-18113</v>
      </c>
      <c r="L63" s="135">
        <f>_xlfn.COMPOUNDVALUE(604)</f>
        <v>3193</v>
      </c>
      <c r="M63" s="137">
        <v>3945344</v>
      </c>
      <c r="N63" s="132">
        <v>3196</v>
      </c>
      <c r="O63" s="153">
        <v>96</v>
      </c>
      <c r="P63" s="153">
        <v>11</v>
      </c>
      <c r="Q63" s="154">
        <v>3303</v>
      </c>
      <c r="R63" s="14" t="s">
        <v>147</v>
      </c>
    </row>
    <row r="64" spans="1:18" ht="15.75" customHeight="1">
      <c r="A64" s="13" t="s">
        <v>71</v>
      </c>
      <c r="B64" s="135">
        <f>_xlfn.COMPOUNDVALUE(605)</f>
        <v>1492</v>
      </c>
      <c r="C64" s="136">
        <v>3709831</v>
      </c>
      <c r="D64" s="135">
        <f>_xlfn.COMPOUNDVALUE(606)</f>
        <v>1354</v>
      </c>
      <c r="E64" s="136">
        <v>406379</v>
      </c>
      <c r="F64" s="135">
        <f>_xlfn.COMPOUNDVALUE(607)</f>
        <v>2846</v>
      </c>
      <c r="G64" s="136">
        <v>4116211</v>
      </c>
      <c r="H64" s="135">
        <f>_xlfn.COMPOUNDVALUE(608)</f>
        <v>131</v>
      </c>
      <c r="I64" s="137">
        <v>514184</v>
      </c>
      <c r="J64" s="135">
        <v>196</v>
      </c>
      <c r="K64" s="137">
        <v>18621</v>
      </c>
      <c r="L64" s="135">
        <f>_xlfn.COMPOUNDVALUE(608)</f>
        <v>3034</v>
      </c>
      <c r="M64" s="137">
        <v>3620648</v>
      </c>
      <c r="N64" s="132">
        <v>3116</v>
      </c>
      <c r="O64" s="153">
        <v>59</v>
      </c>
      <c r="P64" s="153">
        <v>7</v>
      </c>
      <c r="Q64" s="154">
        <v>3182</v>
      </c>
      <c r="R64" s="14" t="s">
        <v>148</v>
      </c>
    </row>
    <row r="65" spans="1:18" ht="15.75" customHeight="1">
      <c r="A65" s="13" t="s">
        <v>72</v>
      </c>
      <c r="B65" s="135">
        <f>_xlfn.COMPOUNDVALUE(609)</f>
        <v>615</v>
      </c>
      <c r="C65" s="136">
        <v>1372387</v>
      </c>
      <c r="D65" s="135">
        <f>_xlfn.COMPOUNDVALUE(610)</f>
        <v>666</v>
      </c>
      <c r="E65" s="136">
        <v>181673</v>
      </c>
      <c r="F65" s="135">
        <f>_xlfn.COMPOUNDVALUE(611)</f>
        <v>1281</v>
      </c>
      <c r="G65" s="136">
        <v>1554061</v>
      </c>
      <c r="H65" s="135">
        <f>_xlfn.COMPOUNDVALUE(612)</f>
        <v>56</v>
      </c>
      <c r="I65" s="137">
        <v>44932</v>
      </c>
      <c r="J65" s="135">
        <v>53</v>
      </c>
      <c r="K65" s="137">
        <v>4218</v>
      </c>
      <c r="L65" s="135">
        <f>_xlfn.COMPOUNDVALUE(612)</f>
        <v>1355</v>
      </c>
      <c r="M65" s="137">
        <v>1513346</v>
      </c>
      <c r="N65" s="132">
        <v>1316</v>
      </c>
      <c r="O65" s="153">
        <v>22</v>
      </c>
      <c r="P65" s="153">
        <v>6</v>
      </c>
      <c r="Q65" s="154">
        <v>1344</v>
      </c>
      <c r="R65" s="14" t="s">
        <v>149</v>
      </c>
    </row>
    <row r="66" spans="1:18" ht="15.75" customHeight="1">
      <c r="A66" s="13" t="s">
        <v>73</v>
      </c>
      <c r="B66" s="135">
        <f>_xlfn.COMPOUNDVALUE(613)</f>
        <v>1263</v>
      </c>
      <c r="C66" s="136">
        <v>4133736</v>
      </c>
      <c r="D66" s="135">
        <f>_xlfn.COMPOUNDVALUE(614)</f>
        <v>916</v>
      </c>
      <c r="E66" s="136">
        <v>380283</v>
      </c>
      <c r="F66" s="135">
        <f>_xlfn.COMPOUNDVALUE(615)</f>
        <v>2179</v>
      </c>
      <c r="G66" s="136">
        <v>4514019</v>
      </c>
      <c r="H66" s="135">
        <f>_xlfn.COMPOUNDVALUE(616)</f>
        <v>295</v>
      </c>
      <c r="I66" s="137">
        <v>1114834</v>
      </c>
      <c r="J66" s="135">
        <v>95</v>
      </c>
      <c r="K66" s="137">
        <v>-1562</v>
      </c>
      <c r="L66" s="135">
        <f>_xlfn.COMPOUNDVALUE(616)</f>
        <v>2517</v>
      </c>
      <c r="M66" s="137">
        <v>3397623</v>
      </c>
      <c r="N66" s="132">
        <v>3963</v>
      </c>
      <c r="O66" s="153">
        <v>121</v>
      </c>
      <c r="P66" s="153">
        <v>14</v>
      </c>
      <c r="Q66" s="154">
        <v>4098</v>
      </c>
      <c r="R66" s="14" t="s">
        <v>150</v>
      </c>
    </row>
    <row r="67" spans="1:18" ht="15.75" customHeight="1">
      <c r="A67" s="13" t="s">
        <v>74</v>
      </c>
      <c r="B67" s="135">
        <f>_xlfn.COMPOUNDVALUE(617)</f>
        <v>1042</v>
      </c>
      <c r="C67" s="136">
        <v>2833523</v>
      </c>
      <c r="D67" s="135">
        <f>_xlfn.COMPOUNDVALUE(618)</f>
        <v>855</v>
      </c>
      <c r="E67" s="136">
        <v>288337</v>
      </c>
      <c r="F67" s="135">
        <f>_xlfn.COMPOUNDVALUE(619)</f>
        <v>1897</v>
      </c>
      <c r="G67" s="136">
        <v>3121860</v>
      </c>
      <c r="H67" s="135">
        <f>_xlfn.COMPOUNDVALUE(620)</f>
        <v>96</v>
      </c>
      <c r="I67" s="137">
        <v>72747</v>
      </c>
      <c r="J67" s="135">
        <v>79</v>
      </c>
      <c r="K67" s="137">
        <v>17439</v>
      </c>
      <c r="L67" s="135">
        <f>_xlfn.COMPOUNDVALUE(620)</f>
        <v>2037</v>
      </c>
      <c r="M67" s="137">
        <v>3066552</v>
      </c>
      <c r="N67" s="132">
        <v>2021</v>
      </c>
      <c r="O67" s="153">
        <v>54</v>
      </c>
      <c r="P67" s="153">
        <v>6</v>
      </c>
      <c r="Q67" s="154">
        <v>2081</v>
      </c>
      <c r="R67" s="14" t="s">
        <v>151</v>
      </c>
    </row>
    <row r="68" spans="1:18" ht="15.75" customHeight="1">
      <c r="A68" s="13" t="s">
        <v>75</v>
      </c>
      <c r="B68" s="135">
        <f>_xlfn.COMPOUNDVALUE(621)</f>
        <v>404</v>
      </c>
      <c r="C68" s="136">
        <v>735518</v>
      </c>
      <c r="D68" s="135">
        <f>_xlfn.COMPOUNDVALUE(622)</f>
        <v>356</v>
      </c>
      <c r="E68" s="136">
        <v>113027</v>
      </c>
      <c r="F68" s="135">
        <f>_xlfn.COMPOUNDVALUE(623)</f>
        <v>760</v>
      </c>
      <c r="G68" s="136">
        <v>848546</v>
      </c>
      <c r="H68" s="135">
        <f>_xlfn.COMPOUNDVALUE(624)</f>
        <v>25</v>
      </c>
      <c r="I68" s="137">
        <v>14706</v>
      </c>
      <c r="J68" s="135">
        <v>21</v>
      </c>
      <c r="K68" s="137">
        <v>2008</v>
      </c>
      <c r="L68" s="135">
        <f>_xlfn.COMPOUNDVALUE(624)</f>
        <v>794</v>
      </c>
      <c r="M68" s="137">
        <v>835847</v>
      </c>
      <c r="N68" s="132">
        <v>760</v>
      </c>
      <c r="O68" s="153">
        <v>16</v>
      </c>
      <c r="P68" s="153">
        <v>0</v>
      </c>
      <c r="Q68" s="154">
        <v>776</v>
      </c>
      <c r="R68" s="14" t="s">
        <v>152</v>
      </c>
    </row>
    <row r="69" spans="1:18" ht="15.75" customHeight="1">
      <c r="A69" s="97" t="s">
        <v>76</v>
      </c>
      <c r="B69" s="155">
        <v>21496</v>
      </c>
      <c r="C69" s="156">
        <v>74017176</v>
      </c>
      <c r="D69" s="155">
        <v>17773</v>
      </c>
      <c r="E69" s="156">
        <v>5950635</v>
      </c>
      <c r="F69" s="155">
        <v>39269</v>
      </c>
      <c r="G69" s="156">
        <v>79967811</v>
      </c>
      <c r="H69" s="155">
        <v>1774</v>
      </c>
      <c r="I69" s="157">
        <v>7028901</v>
      </c>
      <c r="J69" s="155">
        <v>2182</v>
      </c>
      <c r="K69" s="157">
        <v>276300</v>
      </c>
      <c r="L69" s="155">
        <v>41733</v>
      </c>
      <c r="M69" s="157">
        <v>73215209</v>
      </c>
      <c r="N69" s="155">
        <v>44121</v>
      </c>
      <c r="O69" s="158">
        <v>970</v>
      </c>
      <c r="P69" s="158">
        <v>141</v>
      </c>
      <c r="Q69" s="159">
        <v>45232</v>
      </c>
      <c r="R69" s="96" t="s">
        <v>153</v>
      </c>
    </row>
    <row r="70" spans="1:18" ht="15.75" customHeight="1" thickBot="1">
      <c r="A70" s="18"/>
      <c r="B70" s="177"/>
      <c r="C70" s="178"/>
      <c r="D70" s="177"/>
      <c r="E70" s="178"/>
      <c r="F70" s="179"/>
      <c r="G70" s="178"/>
      <c r="H70" s="179"/>
      <c r="I70" s="178"/>
      <c r="J70" s="179"/>
      <c r="K70" s="178"/>
      <c r="L70" s="179"/>
      <c r="M70" s="178"/>
      <c r="N70" s="180"/>
      <c r="O70" s="181"/>
      <c r="P70" s="181"/>
      <c r="Q70" s="182"/>
      <c r="R70" s="95"/>
    </row>
    <row r="71" spans="1:18" ht="15.75" customHeight="1" thickBot="1" thickTop="1">
      <c r="A71" s="21" t="s">
        <v>96</v>
      </c>
      <c r="B71" s="150">
        <v>101045</v>
      </c>
      <c r="C71" s="151">
        <v>350447892</v>
      </c>
      <c r="D71" s="150">
        <v>81993</v>
      </c>
      <c r="E71" s="151">
        <v>26039794</v>
      </c>
      <c r="F71" s="150">
        <v>183038</v>
      </c>
      <c r="G71" s="151">
        <v>376487686</v>
      </c>
      <c r="H71" s="150">
        <v>7010</v>
      </c>
      <c r="I71" s="152">
        <v>25755807</v>
      </c>
      <c r="J71" s="150">
        <v>10545</v>
      </c>
      <c r="K71" s="152">
        <v>1524980</v>
      </c>
      <c r="L71" s="150">
        <v>193280</v>
      </c>
      <c r="M71" s="152">
        <v>352256858</v>
      </c>
      <c r="N71" s="183">
        <v>198026</v>
      </c>
      <c r="O71" s="184">
        <v>4169</v>
      </c>
      <c r="P71" s="184">
        <v>622</v>
      </c>
      <c r="Q71" s="185">
        <v>202817</v>
      </c>
      <c r="R71" s="33" t="s">
        <v>96</v>
      </c>
    </row>
    <row r="72" spans="1:9" ht="19.5" customHeight="1">
      <c r="A72" s="217" t="s">
        <v>250</v>
      </c>
      <c r="B72" s="217"/>
      <c r="C72" s="217"/>
      <c r="D72" s="217"/>
      <c r="E72" s="217"/>
      <c r="F72" s="217"/>
      <c r="G72" s="217"/>
      <c r="H72" s="217"/>
      <c r="I72" s="217"/>
    </row>
  </sheetData>
  <sheetProtection/>
  <mergeCells count="16">
    <mergeCell ref="O4:O5"/>
    <mergeCell ref="P4:P5"/>
    <mergeCell ref="Q4:Q5"/>
    <mergeCell ref="J3:K4"/>
    <mergeCell ref="L3:M4"/>
    <mergeCell ref="N3:Q3"/>
    <mergeCell ref="A72:I72"/>
    <mergeCell ref="A2:I2"/>
    <mergeCell ref="A3:A5"/>
    <mergeCell ref="B3:G3"/>
    <mergeCell ref="H3:I4"/>
    <mergeCell ref="R3:R5"/>
    <mergeCell ref="B4:C4"/>
    <mergeCell ref="D4:E4"/>
    <mergeCell ref="F4:G4"/>
    <mergeCell ref="N4:N5"/>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(H25)</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2015-06-08T02:36:26Z</cp:lastPrinted>
  <dcterms:created xsi:type="dcterms:W3CDTF">2011-12-09T10:59:54Z</dcterms:created>
  <dcterms:modified xsi:type="dcterms:W3CDTF">2015-06-08T02:36:31Z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