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30" tabRatio="897" activeTab="0"/>
  </bookViews>
  <sheets>
    <sheet name="7 (1)課税状況" sheetId="1" r:id="rId1"/>
    <sheet name="7 (2)課税状況の累年比較" sheetId="2" r:id="rId2"/>
    <sheet name="7 (3)課税事業者等届出件数" sheetId="3" r:id="rId3"/>
    <sheet name="7 (4)-1税務署別(個人事業者）" sheetId="4" r:id="rId4"/>
    <sheet name="7 (4)-2税務署別（法人）" sheetId="5" r:id="rId5"/>
    <sheet name="7 (4)-3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<sst xmlns="http://schemas.openxmlformats.org/spreadsheetml/2006/main" count="347" uniqueCount="112">
  <si>
    <t>　イ　個人事業者</t>
  </si>
  <si>
    <t>還付申告及び処理</t>
  </si>
  <si>
    <t>既往年分の
申告及び処理</t>
  </si>
  <si>
    <t>合　　　　　　計</t>
  </si>
  <si>
    <t>税務署名</t>
  </si>
  <si>
    <t>簡易申告及び処理</t>
  </si>
  <si>
    <t>小　　　　　　計</t>
  </si>
  <si>
    <t>件</t>
  </si>
  <si>
    <t>千円</t>
  </si>
  <si>
    <t>札幌中</t>
  </si>
  <si>
    <t>札幌北</t>
  </si>
  <si>
    <t>札幌南</t>
  </si>
  <si>
    <t>札幌西</t>
  </si>
  <si>
    <t>札幌東</t>
  </si>
  <si>
    <t>小樽</t>
  </si>
  <si>
    <t>旭川中</t>
  </si>
  <si>
    <t>旭川東</t>
  </si>
  <si>
    <t>室蘭</t>
  </si>
  <si>
    <t>釧路</t>
  </si>
  <si>
    <t>帯広</t>
  </si>
  <si>
    <t>北見</t>
  </si>
  <si>
    <t>岩見沢</t>
  </si>
  <si>
    <t>網走</t>
  </si>
  <si>
    <t>留萌</t>
  </si>
  <si>
    <t>苫小牧</t>
  </si>
  <si>
    <t>稚内</t>
  </si>
  <si>
    <t>紋別</t>
  </si>
  <si>
    <t>名寄</t>
  </si>
  <si>
    <t>根室</t>
  </si>
  <si>
    <t>滝川</t>
  </si>
  <si>
    <t>深川</t>
  </si>
  <si>
    <t>富良野</t>
  </si>
  <si>
    <t>八雲</t>
  </si>
  <si>
    <t>江差</t>
  </si>
  <si>
    <t>倶知安</t>
  </si>
  <si>
    <t>余市</t>
  </si>
  <si>
    <t>浦河</t>
  </si>
  <si>
    <t>十勝池田</t>
  </si>
  <si>
    <t>　ロ　法　　　人</t>
  </si>
  <si>
    <t>税務署名</t>
  </si>
  <si>
    <t>　ハ　個人事業者と法人の合計</t>
  </si>
  <si>
    <t>課税事業者
届出</t>
  </si>
  <si>
    <t>合　　　計</t>
  </si>
  <si>
    <t>合　　計</t>
  </si>
  <si>
    <t>加算税</t>
  </si>
  <si>
    <t>申告及び処理による
減差税額のあるもの</t>
  </si>
  <si>
    <t>申告及び処理による
増差税額のあるもの</t>
  </si>
  <si>
    <t>既往年分</t>
  </si>
  <si>
    <t>還付申告及び処理</t>
  </si>
  <si>
    <t>納税申告計</t>
  </si>
  <si>
    <t>簡易申告及び処理</t>
  </si>
  <si>
    <t>一般申告及び処理</t>
  </si>
  <si>
    <t>現年分</t>
  </si>
  <si>
    <t>千円</t>
  </si>
  <si>
    <t>件</t>
  </si>
  <si>
    <t>税　　　額</t>
  </si>
  <si>
    <t>件　　　数</t>
  </si>
  <si>
    <t>個　人　事　業　者</t>
  </si>
  <si>
    <t>区　　　分</t>
  </si>
  <si>
    <t>(1)　課税状況</t>
  </si>
  <si>
    <t>７　消　費　税</t>
  </si>
  <si>
    <t>納税申告計</t>
  </si>
  <si>
    <t>税　　額</t>
  </si>
  <si>
    <t>件　　数</t>
  </si>
  <si>
    <t>合　　　　　　　計</t>
  </si>
  <si>
    <t>法　　　　　　　人</t>
  </si>
  <si>
    <t>(2)　課税状況の累年比較</t>
  </si>
  <si>
    <t>(3)　課税事業者等届出件数</t>
  </si>
  <si>
    <t>課税事業者届出書</t>
  </si>
  <si>
    <t>課税事業者選択届出書</t>
  </si>
  <si>
    <t>新設法人に該当する旨の届出書</t>
  </si>
  <si>
    <t>税務署名</t>
  </si>
  <si>
    <t>一般申告及び処理</t>
  </si>
  <si>
    <t>件数</t>
  </si>
  <si>
    <t>税額</t>
  </si>
  <si>
    <t>税　額　①</t>
  </si>
  <si>
    <t>納　　　税　　　申　　　告　　　及　　　び　　　処　　　理</t>
  </si>
  <si>
    <t>税　額　②</t>
  </si>
  <si>
    <t>税　額　③</t>
  </si>
  <si>
    <t>税　　　額
(①－②＋③)</t>
  </si>
  <si>
    <t>函館</t>
  </si>
  <si>
    <t>札幌中</t>
  </si>
  <si>
    <t>税　　額
(①－②＋③)</t>
  </si>
  <si>
    <t>課　税　事　業　者　等　届　出　件　数</t>
  </si>
  <si>
    <t>課税事業者
選択届出</t>
  </si>
  <si>
    <t>新設法人に
該当する旨
の届出</t>
  </si>
  <si>
    <t xml:space="preserve">     （注） 納税義務者でなくなった旨の届出書又は課税事業者選択不適用届出書を提出した者は含まない。</t>
  </si>
  <si>
    <t>合               計</t>
  </si>
  <si>
    <t>　　（注）　</t>
  </si>
  <si>
    <t>　　　　　　</t>
  </si>
  <si>
    <t>件数</t>
  </si>
  <si>
    <t>税額</t>
  </si>
  <si>
    <t>函館</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</si>
  <si>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</si>
  <si>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</si>
  <si>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</si>
  <si>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</si>
  <si>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</si>
  <si>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平成29年度</t>
  </si>
  <si>
    <t>平成30年度</t>
  </si>
  <si>
    <t>令和元年度</t>
  </si>
  <si>
    <t>税関分は含まない。</t>
  </si>
  <si>
    <t>個　人　事　業　者</t>
  </si>
  <si>
    <t>法　　　　　人</t>
  </si>
  <si>
    <t>合　　　　　計</t>
  </si>
  <si>
    <t>令和２年度</t>
  </si>
  <si>
    <t>調査対象等：</t>
  </si>
  <si>
    <t>　「現年分」は、令和３年４月１日から令和４年３月31日までに終了した課税期間に係る消費税の申告及び処理（更正、決定等）による課税事績(令和４年６月30日までのもの。国・地方公共団体等及び消費税申告期限延長届出書を提出した法人については令和４年９月30日までのもの。)に基づいて作成した。</t>
  </si>
  <si>
    <t>　「既往年分」は、令和３年３月31日以前に終了した課税期間に係る消費税の申告及び処理（更正、決定等）による課税事績（令和３年７月１日から令和４年６月30日までのもの。国・地方公共団体等及び消費税申告期限延長届出書を提出した法人については令和３年10月１日から令和４年６月30日までのもの。）に基づいて作成した。</t>
  </si>
  <si>
    <t>令和３年度</t>
  </si>
  <si>
    <t>調査対象等：令和３年度末（令和４年３月31日現在）の届出件数を示している。</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</si>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</sst>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bottom style="medium"/>
    </border>
    <border>
      <left style="thin"/>
      <right style="medium"/>
      <top/>
      <bottom style="medium"/>
    </border>
    <border>
      <left style="hair"/>
      <right style="thin"/>
      <top style="hair"/>
      <bottom style="thin"/>
    </border>
    <border>
      <left style="hair"/>
      <right style="hair"/>
      <top style="thin"/>
      <bottom/>
    </border>
    <border>
      <left style="thin"/>
      <right style="hair"/>
      <top style="hair"/>
      <bottom style="thin"/>
    </border>
    <border>
      <left style="hair"/>
      <right/>
      <top style="hair"/>
      <bottom style="thin"/>
    </border>
    <border>
      <left/>
      <right/>
      <top style="medium"/>
      <bottom/>
    </border>
    <border>
      <left style="hair"/>
      <right style="medium"/>
      <top style="thin"/>
      <bottom style="hair">
        <color indexed="55"/>
      </bottom>
    </border>
    <border>
      <left style="hair"/>
      <right style="thin"/>
      <top style="thin"/>
      <bottom style="hair">
        <color indexed="55"/>
      </bottom>
    </border>
    <border>
      <left style="hair"/>
      <right style="thin"/>
      <top style="hair">
        <color indexed="55"/>
      </top>
      <bottom style="thin"/>
    </border>
    <border>
      <left style="hair"/>
      <right style="thin"/>
      <top style="hair">
        <color indexed="55"/>
      </top>
      <bottom style="hair">
        <color indexed="55"/>
      </bottom>
    </border>
    <border>
      <left style="hair"/>
      <right style="medium"/>
      <top/>
      <bottom style="hair">
        <color indexed="55"/>
      </bottom>
    </border>
    <border>
      <left style="hair"/>
      <right style="thin"/>
      <top/>
      <bottom style="hair">
        <color indexed="55"/>
      </bottom>
    </border>
    <border>
      <left style="hair"/>
      <right style="medium"/>
      <top style="thin"/>
      <bottom/>
    </border>
    <border>
      <left style="hair"/>
      <right style="thin"/>
      <top style="hair">
        <color indexed="55"/>
      </top>
      <bottom style="medium"/>
    </border>
    <border>
      <left style="thin"/>
      <right style="hair"/>
      <top style="thin"/>
      <bottom style="hair">
        <color indexed="55"/>
      </bottom>
    </border>
    <border>
      <left style="hair"/>
      <right style="medium"/>
      <top style="hair">
        <color indexed="55"/>
      </top>
      <bottom style="thin"/>
    </border>
    <border>
      <left style="thin"/>
      <right style="hair"/>
      <top style="hair">
        <color indexed="55"/>
      </top>
      <bottom style="thin"/>
    </border>
    <border>
      <left style="thin"/>
      <right style="hair"/>
      <top/>
      <bottom style="hair">
        <color indexed="55"/>
      </bottom>
    </border>
    <border>
      <left/>
      <right style="medium"/>
      <top style="thin"/>
      <bottom/>
    </border>
    <border>
      <left/>
      <right style="thin"/>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thin"/>
      <right style="medium"/>
      <top style="hair">
        <color indexed="55"/>
      </top>
      <bottom style="double"/>
    </border>
    <border>
      <left style="medium"/>
      <right/>
      <top style="hair">
        <color indexed="55"/>
      </top>
      <bottom style="double"/>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double"/>
    </border>
    <border>
      <left style="hair"/>
      <right style="thin"/>
      <top style="hair">
        <color indexed="55"/>
      </top>
      <bottom style="double"/>
    </border>
    <border>
      <left style="hair"/>
      <right/>
      <top style="hair">
        <color indexed="55"/>
      </top>
      <bottom style="double"/>
    </border>
    <border>
      <left style="thin"/>
      <right style="hair"/>
      <top/>
      <bottom style="medium"/>
    </border>
    <border>
      <left style="hair"/>
      <right/>
      <top/>
      <bottom style="medium"/>
    </border>
    <border>
      <left style="hair"/>
      <right style="hair"/>
      <top style="hair">
        <color indexed="55"/>
      </top>
      <bottom style="double"/>
    </border>
    <border>
      <left style="medium"/>
      <right style="thin"/>
      <top/>
      <bottom style="medium"/>
    </border>
    <border>
      <left style="thin"/>
      <right style="thin"/>
      <top/>
      <bottom style="medium"/>
    </border>
    <border>
      <left style="thin"/>
      <right/>
      <top/>
      <bottom style="medium"/>
    </border>
    <border>
      <left style="hair"/>
      <right style="hair"/>
      <top style="hair">
        <color indexed="55"/>
      </top>
      <bottom style="thin"/>
    </border>
    <border>
      <left style="medium"/>
      <right/>
      <top style="medium"/>
      <bottom/>
    </border>
    <border>
      <left/>
      <right style="thin"/>
      <top style="medium"/>
      <bottom/>
    </border>
    <border>
      <left style="medium"/>
      <right/>
      <top/>
      <bottom/>
    </border>
    <border>
      <left/>
      <right style="thin"/>
      <top/>
      <bottom/>
    </border>
    <border>
      <left style="medium"/>
      <right style="hair"/>
      <top/>
      <bottom/>
    </border>
    <border>
      <left style="medium"/>
      <right style="hair"/>
      <top/>
      <bottom style="thin"/>
    </border>
    <border>
      <left style="medium"/>
      <right style="hair"/>
      <top style="thin"/>
      <bottom style="hair"/>
    </border>
    <border>
      <left style="medium"/>
      <right style="hair"/>
      <top style="hair"/>
      <bottom style="thin"/>
    </border>
    <border>
      <left/>
      <right style="thin"/>
      <top/>
      <bottom style="medium"/>
    </border>
    <border>
      <left/>
      <right/>
      <top style="medium"/>
      <bottom style="thin"/>
    </border>
    <border>
      <left/>
      <right style="thin"/>
      <top style="medium"/>
      <bottom style="thin"/>
    </border>
    <border>
      <left/>
      <right style="medium"/>
      <top style="medium"/>
      <bottom style="thin"/>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thin"/>
      <right style="medium"/>
      <top/>
      <bottom/>
    </border>
    <border>
      <left style="thin"/>
      <right style="medium"/>
      <top/>
      <bottom style="thin"/>
    </border>
    <border>
      <left style="thin"/>
      <right style="thin"/>
      <top style="hair"/>
      <bottom style="hair"/>
    </border>
    <border>
      <left style="thin"/>
      <right>
        <color indexed="63"/>
      </right>
      <top style="hair"/>
      <bottom style="hair"/>
    </border>
    <border>
      <left>
        <color indexed="63"/>
      </left>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medium"/>
      <right/>
      <top/>
      <bottom style="thin"/>
    </border>
    <border>
      <left style="thin"/>
      <right style="thin"/>
      <top style="medium"/>
      <bottom style="hair"/>
    </border>
    <border>
      <left/>
      <right/>
      <top/>
      <bottom style="medium"/>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color indexed="63"/>
      </left>
      <right style="thin"/>
      <top style="medium"/>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196">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9" fillId="0" borderId="0" xfId="60" applyFont="1">
      <alignment/>
      <protection/>
    </xf>
    <xf numFmtId="0" fontId="8" fillId="0" borderId="19" xfId="60" applyFont="1" applyBorder="1" applyAlignment="1">
      <alignment horizontal="center" vertical="center"/>
      <protection/>
    </xf>
    <xf numFmtId="0" fontId="8" fillId="0" borderId="20" xfId="60" applyFont="1" applyBorder="1" applyAlignment="1">
      <alignment horizontal="center"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1" xfId="60" applyFont="1" applyBorder="1" applyAlignment="1">
      <alignment horizontal="center" vertical="center" wrapText="1"/>
      <protection/>
    </xf>
    <xf numFmtId="0" fontId="5" fillId="34" borderId="22"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3" fillId="0" borderId="23" xfId="60" applyFont="1" applyBorder="1" applyAlignment="1">
      <alignment horizontal="distributed" vertical="center" indent="1"/>
      <protection/>
    </xf>
    <xf numFmtId="0" fontId="3" fillId="0" borderId="21" xfId="60" applyFont="1" applyBorder="1" applyAlignment="1">
      <alignment horizontal="distributed" vertical="center" indent="1"/>
      <protection/>
    </xf>
    <xf numFmtId="0" fontId="3" fillId="0" borderId="24" xfId="60" applyFont="1" applyBorder="1" applyAlignment="1">
      <alignment horizontal="distributed" vertical="center" indent="1"/>
      <protection/>
    </xf>
    <xf numFmtId="0" fontId="3" fillId="0" borderId="24" xfId="60" applyFont="1" applyBorder="1" applyAlignment="1">
      <alignment horizontal="centerContinuous" vertical="center" wrapText="1"/>
      <protection/>
    </xf>
    <xf numFmtId="0" fontId="8" fillId="0" borderId="0" xfId="60" applyFont="1" applyFill="1" applyBorder="1" applyAlignment="1">
      <alignment horizontal="center" vertical="center"/>
      <protection/>
    </xf>
    <xf numFmtId="176" fontId="8" fillId="0" borderId="0" xfId="60" applyNumberFormat="1" applyFont="1" applyFill="1" applyBorder="1" applyAlignment="1">
      <alignment horizontal="right" vertical="center"/>
      <protection/>
    </xf>
    <xf numFmtId="0" fontId="8" fillId="0" borderId="25" xfId="60" applyFont="1" applyFill="1" applyBorder="1" applyAlignment="1">
      <alignment horizontal="center" vertical="center"/>
      <protection/>
    </xf>
    <xf numFmtId="176" fontId="8" fillId="0" borderId="25" xfId="60" applyNumberFormat="1" applyFont="1" applyFill="1" applyBorder="1" applyAlignment="1">
      <alignment horizontal="right" vertical="center"/>
      <protection/>
    </xf>
    <xf numFmtId="0" fontId="9" fillId="0" borderId="0" xfId="60" applyFont="1" applyFill="1" applyBorder="1">
      <alignment/>
      <protection/>
    </xf>
    <xf numFmtId="0" fontId="8" fillId="0" borderId="0" xfId="60" applyFont="1" applyAlignment="1">
      <alignment horizontal="left" vertical="top"/>
      <protection/>
    </xf>
    <xf numFmtId="3" fontId="3" fillId="35" borderId="26" xfId="60" applyNumberFormat="1" applyFont="1" applyFill="1" applyBorder="1" applyAlignment="1">
      <alignment horizontal="right" vertical="center"/>
      <protection/>
    </xf>
    <xf numFmtId="3" fontId="3" fillId="35" borderId="27" xfId="60" applyNumberFormat="1" applyFont="1" applyFill="1" applyBorder="1" applyAlignment="1">
      <alignment horizontal="right" vertical="center"/>
      <protection/>
    </xf>
    <xf numFmtId="0" fontId="3" fillId="0" borderId="27" xfId="60" applyFont="1" applyBorder="1" applyAlignment="1">
      <alignment horizontal="distributed" vertical="center" wrapText="1"/>
      <protection/>
    </xf>
    <xf numFmtId="0" fontId="3" fillId="0" borderId="28" xfId="60" applyFont="1" applyBorder="1" applyAlignment="1">
      <alignment horizontal="distributed" vertical="center"/>
      <protection/>
    </xf>
    <xf numFmtId="0" fontId="8" fillId="0" borderId="29" xfId="60" applyFont="1" applyBorder="1" applyAlignment="1">
      <alignment horizontal="distributed" vertical="center"/>
      <protection/>
    </xf>
    <xf numFmtId="0" fontId="3" fillId="0" borderId="29" xfId="60" applyFont="1" applyBorder="1" applyAlignment="1">
      <alignment horizontal="distributed" vertical="center"/>
      <protection/>
    </xf>
    <xf numFmtId="3" fontId="3" fillId="35" borderId="30" xfId="60" applyNumberFormat="1" applyFont="1" applyFill="1" applyBorder="1" applyAlignment="1">
      <alignment horizontal="right" vertical="center"/>
      <protection/>
    </xf>
    <xf numFmtId="3" fontId="3" fillId="35" borderId="31" xfId="60" applyNumberFormat="1" applyFont="1" applyFill="1" applyBorder="1" applyAlignment="1">
      <alignment horizontal="right" vertical="center"/>
      <protection/>
    </xf>
    <xf numFmtId="0" fontId="3" fillId="0" borderId="31" xfId="60" applyFont="1" applyBorder="1" applyAlignment="1">
      <alignment horizontal="distributed" vertical="center"/>
      <protection/>
    </xf>
    <xf numFmtId="0" fontId="5" fillId="35" borderId="32" xfId="60" applyFont="1" applyFill="1" applyBorder="1" applyAlignment="1">
      <alignment horizontal="right" vertical="top"/>
      <protection/>
    </xf>
    <xf numFmtId="0" fontId="5" fillId="0" borderId="12"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3" fillId="0" borderId="32" xfId="60" applyFont="1" applyBorder="1" applyAlignment="1">
      <alignment horizontal="center" vertical="center"/>
      <protection/>
    </xf>
    <xf numFmtId="0" fontId="3" fillId="0" borderId="12" xfId="60" applyFont="1" applyBorder="1" applyAlignment="1">
      <alignment horizontal="center" vertical="center"/>
      <protection/>
    </xf>
    <xf numFmtId="3" fontId="3" fillId="0" borderId="0" xfId="60" applyNumberFormat="1" applyFont="1" applyAlignment="1">
      <alignment horizontal="left" vertical="top"/>
      <protection/>
    </xf>
    <xf numFmtId="0" fontId="3" fillId="0" borderId="33" xfId="60" applyFont="1" applyBorder="1" applyAlignment="1">
      <alignment horizontal="distributed" vertical="center"/>
      <protection/>
    </xf>
    <xf numFmtId="3" fontId="3" fillId="34" borderId="34" xfId="60" applyNumberFormat="1" applyFont="1" applyFill="1" applyBorder="1" applyAlignment="1">
      <alignment horizontal="right" vertical="center"/>
      <protection/>
    </xf>
    <xf numFmtId="0" fontId="3" fillId="0" borderId="27" xfId="60" applyFont="1" applyBorder="1" applyAlignment="1">
      <alignment horizontal="distributed" vertical="center"/>
      <protection/>
    </xf>
    <xf numFmtId="0" fontId="3" fillId="0" borderId="0" xfId="60" applyFont="1" applyBorder="1" applyAlignment="1">
      <alignment horizontal="left" vertical="top"/>
      <protection/>
    </xf>
    <xf numFmtId="3" fontId="3" fillId="35" borderId="35" xfId="60" applyNumberFormat="1" applyFont="1" applyFill="1" applyBorder="1" applyAlignment="1">
      <alignment horizontal="right" vertical="center"/>
      <protection/>
    </xf>
    <xf numFmtId="3" fontId="3" fillId="34" borderId="36" xfId="60" applyNumberFormat="1" applyFont="1" applyFill="1" applyBorder="1" applyAlignment="1">
      <alignment horizontal="right" vertical="center"/>
      <protection/>
    </xf>
    <xf numFmtId="3" fontId="3" fillId="35" borderId="28" xfId="60" applyNumberFormat="1" applyFont="1" applyFill="1" applyBorder="1" applyAlignment="1">
      <alignment horizontal="right" vertical="center"/>
      <protection/>
    </xf>
    <xf numFmtId="3" fontId="3" fillId="34" borderId="37" xfId="60" applyNumberFormat="1" applyFont="1" applyFill="1" applyBorder="1" applyAlignment="1">
      <alignment horizontal="right" vertical="center"/>
      <protection/>
    </xf>
    <xf numFmtId="0" fontId="3" fillId="0" borderId="0" xfId="60" applyFont="1" applyAlignment="1">
      <alignment horizontal="left"/>
      <protection/>
    </xf>
    <xf numFmtId="0" fontId="5" fillId="35" borderId="32" xfId="60" applyFont="1" applyFill="1" applyBorder="1" applyAlignment="1">
      <alignment horizontal="right"/>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3" fillId="0" borderId="10" xfId="60" applyFont="1" applyBorder="1" applyAlignment="1">
      <alignment horizontal="center" vertical="center"/>
      <protection/>
    </xf>
    <xf numFmtId="0" fontId="3" fillId="0" borderId="38" xfId="60" applyFont="1" applyBorder="1" applyAlignment="1">
      <alignment horizontal="center" vertical="center"/>
      <protection/>
    </xf>
    <xf numFmtId="0" fontId="3" fillId="0" borderId="39" xfId="60" applyFont="1" applyBorder="1" applyAlignment="1">
      <alignment horizontal="center" vertical="center"/>
      <protection/>
    </xf>
    <xf numFmtId="0" fontId="3" fillId="0" borderId="40" xfId="60" applyFont="1" applyBorder="1" applyAlignment="1">
      <alignment horizontal="distributed" vertical="center"/>
      <protection/>
    </xf>
    <xf numFmtId="0" fontId="3" fillId="0" borderId="41" xfId="60" applyFont="1" applyBorder="1" applyAlignment="1">
      <alignment horizontal="distributed"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5" fillId="34" borderId="44" xfId="60" applyFont="1" applyFill="1" applyBorder="1" applyAlignment="1">
      <alignment horizontal="right"/>
      <protection/>
    </xf>
    <xf numFmtId="0" fontId="5" fillId="34" borderId="45" xfId="60" applyFont="1" applyFill="1" applyBorder="1" applyAlignment="1">
      <alignment horizontal="right"/>
      <protection/>
    </xf>
    <xf numFmtId="0" fontId="5" fillId="34" borderId="46"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3" fillId="36" borderId="47" xfId="60" applyFont="1" applyFill="1" applyBorder="1" applyAlignment="1">
      <alignment horizontal="distributed" vertical="center"/>
      <protection/>
    </xf>
    <xf numFmtId="0" fontId="3" fillId="0" borderId="23" xfId="60" applyFont="1" applyBorder="1" applyAlignment="1">
      <alignment horizontal="distributed" vertical="center"/>
      <protection/>
    </xf>
    <xf numFmtId="0" fontId="3" fillId="36" borderId="48" xfId="60" applyFont="1" applyFill="1" applyBorder="1" applyAlignment="1">
      <alignment horizontal="distributed" vertical="center"/>
      <protection/>
    </xf>
    <xf numFmtId="0" fontId="10" fillId="0" borderId="0" xfId="60" applyFont="1" applyAlignment="1">
      <alignment horizontal="center" vertical="top"/>
      <protection/>
    </xf>
    <xf numFmtId="0" fontId="3" fillId="0" borderId="11" xfId="60" applyFont="1" applyBorder="1" applyAlignment="1">
      <alignment horizontal="center" vertical="center"/>
      <protection/>
    </xf>
    <xf numFmtId="0" fontId="3" fillId="0" borderId="0" xfId="60" applyFont="1" applyAlignment="1" quotePrefix="1">
      <alignment horizontal="left" vertical="top"/>
      <protection/>
    </xf>
    <xf numFmtId="0" fontId="3" fillId="0" borderId="0" xfId="60" applyFont="1" applyFill="1" applyBorder="1" applyAlignment="1">
      <alignment horizontal="distributed" vertical="center"/>
      <protection/>
    </xf>
    <xf numFmtId="3" fontId="3" fillId="0" borderId="0" xfId="60" applyNumberFormat="1" applyFont="1" applyFill="1" applyBorder="1" applyAlignment="1">
      <alignment horizontal="right" vertical="center"/>
      <protection/>
    </xf>
    <xf numFmtId="0" fontId="3" fillId="0" borderId="0" xfId="60" applyFont="1" applyFill="1" applyBorder="1" applyAlignment="1">
      <alignment horizontal="left" vertical="top"/>
      <protection/>
    </xf>
    <xf numFmtId="3" fontId="3" fillId="0" borderId="0" xfId="60" applyNumberFormat="1" applyFont="1" applyFill="1" applyBorder="1" applyAlignment="1">
      <alignment horizontal="right" vertical="center" indent="1"/>
      <protection/>
    </xf>
    <xf numFmtId="3" fontId="3" fillId="0" borderId="0" xfId="60" applyNumberFormat="1" applyFont="1" applyFill="1" applyBorder="1" applyAlignment="1">
      <alignment horizontal="left" vertical="center"/>
      <protection/>
    </xf>
    <xf numFmtId="0" fontId="3" fillId="0" borderId="0" xfId="60" applyFont="1" applyFill="1" applyBorder="1" applyAlignment="1">
      <alignment horizontal="left" vertical="center"/>
      <protection/>
    </xf>
    <xf numFmtId="3" fontId="3" fillId="34" borderId="49" xfId="60" applyNumberFormat="1" applyFont="1" applyFill="1" applyBorder="1" applyAlignment="1">
      <alignment horizontal="right" vertical="center"/>
      <protection/>
    </xf>
    <xf numFmtId="3" fontId="3" fillId="34" borderId="50" xfId="60" applyNumberFormat="1" applyFont="1" applyFill="1" applyBorder="1" applyAlignment="1">
      <alignment horizontal="right" vertical="center"/>
      <protection/>
    </xf>
    <xf numFmtId="3" fontId="3" fillId="35" borderId="29" xfId="60" applyNumberFormat="1" applyFont="1" applyFill="1" applyBorder="1" applyAlignment="1">
      <alignment horizontal="right" vertical="center"/>
      <protection/>
    </xf>
    <xf numFmtId="3" fontId="3" fillId="35" borderId="51" xfId="60" applyNumberFormat="1" applyFont="1" applyFill="1" applyBorder="1" applyAlignment="1">
      <alignment horizontal="right" vertical="center"/>
      <protection/>
    </xf>
    <xf numFmtId="3" fontId="8" fillId="34" borderId="50" xfId="60" applyNumberFormat="1" applyFont="1" applyFill="1" applyBorder="1" applyAlignment="1">
      <alignment horizontal="right" vertical="center"/>
      <protection/>
    </xf>
    <xf numFmtId="3" fontId="8" fillId="35" borderId="29" xfId="60" applyNumberFormat="1" applyFont="1" applyFill="1" applyBorder="1" applyAlignment="1">
      <alignment horizontal="right" vertical="center"/>
      <protection/>
    </xf>
    <xf numFmtId="3" fontId="8" fillId="35" borderId="51" xfId="60" applyNumberFormat="1" applyFont="1" applyFill="1" applyBorder="1" applyAlignment="1">
      <alignment horizontal="right" vertical="center"/>
      <protection/>
    </xf>
    <xf numFmtId="3" fontId="3" fillId="34" borderId="52" xfId="60" applyNumberFormat="1" applyFont="1" applyFill="1" applyBorder="1" applyAlignment="1">
      <alignment horizontal="right" vertical="center"/>
      <protection/>
    </xf>
    <xf numFmtId="3" fontId="3" fillId="35" borderId="53" xfId="60" applyNumberFormat="1" applyFont="1" applyFill="1" applyBorder="1" applyAlignment="1">
      <alignment horizontal="right" vertical="center"/>
      <protection/>
    </xf>
    <xf numFmtId="3" fontId="3" fillId="35" borderId="54" xfId="60" applyNumberFormat="1" applyFont="1" applyFill="1" applyBorder="1" applyAlignment="1">
      <alignment horizontal="right" vertical="center"/>
      <protection/>
    </xf>
    <xf numFmtId="3" fontId="3" fillId="34" borderId="55" xfId="60" applyNumberFormat="1" applyFont="1" applyFill="1" applyBorder="1" applyAlignment="1">
      <alignment horizontal="right" vertical="center"/>
      <protection/>
    </xf>
    <xf numFmtId="3" fontId="3" fillId="34" borderId="55" xfId="60" applyNumberFormat="1" applyFont="1" applyFill="1" applyBorder="1" applyAlignment="1">
      <alignment vertical="center"/>
      <protection/>
    </xf>
    <xf numFmtId="3" fontId="3" fillId="34" borderId="56" xfId="60" applyNumberFormat="1" applyFont="1" applyFill="1" applyBorder="1" applyAlignment="1">
      <alignment horizontal="right" vertical="center"/>
      <protection/>
    </xf>
    <xf numFmtId="3" fontId="3" fillId="35" borderId="57" xfId="60" applyNumberFormat="1" applyFont="1" applyFill="1" applyBorder="1" applyAlignment="1">
      <alignment horizontal="right" vertical="center"/>
      <protection/>
    </xf>
    <xf numFmtId="3" fontId="3" fillId="35" borderId="58" xfId="60" applyNumberFormat="1" applyFont="1" applyFill="1" applyBorder="1" applyAlignment="1">
      <alignment horizontal="right" vertical="center"/>
      <protection/>
    </xf>
    <xf numFmtId="3" fontId="3" fillId="34" borderId="59" xfId="60" applyNumberFormat="1" applyFont="1" applyFill="1" applyBorder="1" applyAlignment="1">
      <alignment horizontal="right" vertical="center"/>
      <protection/>
    </xf>
    <xf numFmtId="3" fontId="3" fillId="35" borderId="33" xfId="60" applyNumberFormat="1" applyFont="1" applyFill="1" applyBorder="1" applyAlignment="1">
      <alignment horizontal="right" vertical="center"/>
      <protection/>
    </xf>
    <xf numFmtId="3" fontId="3" fillId="35" borderId="60" xfId="60" applyNumberFormat="1" applyFont="1" applyFill="1" applyBorder="1" applyAlignment="1">
      <alignment horizontal="right" vertical="center"/>
      <protection/>
    </xf>
    <xf numFmtId="176" fontId="3" fillId="34" borderId="37" xfId="60" applyNumberFormat="1" applyFont="1" applyFill="1" applyBorder="1" applyAlignment="1">
      <alignment horizontal="right" vertical="center"/>
      <protection/>
    </xf>
    <xf numFmtId="176" fontId="3" fillId="35" borderId="31" xfId="60" applyNumberFormat="1" applyFont="1" applyFill="1" applyBorder="1" applyAlignment="1">
      <alignment horizontal="right" vertical="center"/>
      <protection/>
    </xf>
    <xf numFmtId="176" fontId="3" fillId="35" borderId="61" xfId="60" applyNumberFormat="1" applyFont="1" applyFill="1" applyBorder="1" applyAlignment="1">
      <alignment horizontal="right" vertical="center"/>
      <protection/>
    </xf>
    <xf numFmtId="176" fontId="3" fillId="34" borderId="62" xfId="60" applyNumberFormat="1" applyFont="1" applyFill="1" applyBorder="1" applyAlignment="1">
      <alignment horizontal="right" vertical="center"/>
      <protection/>
    </xf>
    <xf numFmtId="176" fontId="3" fillId="35" borderId="29" xfId="60" applyNumberFormat="1" applyFont="1" applyFill="1" applyBorder="1" applyAlignment="1">
      <alignment horizontal="right" vertical="center"/>
      <protection/>
    </xf>
    <xf numFmtId="176" fontId="3" fillId="35" borderId="63" xfId="60" applyNumberFormat="1" applyFont="1" applyFill="1" applyBorder="1" applyAlignment="1">
      <alignment horizontal="right" vertical="center"/>
      <protection/>
    </xf>
    <xf numFmtId="176" fontId="3" fillId="34" borderId="64" xfId="60" applyNumberFormat="1" applyFont="1" applyFill="1" applyBorder="1" applyAlignment="1">
      <alignment horizontal="right" vertical="center"/>
      <protection/>
    </xf>
    <xf numFmtId="176" fontId="3" fillId="35" borderId="65" xfId="60" applyNumberFormat="1" applyFont="1" applyFill="1" applyBorder="1" applyAlignment="1">
      <alignment horizontal="right" vertical="center"/>
      <protection/>
    </xf>
    <xf numFmtId="176" fontId="3" fillId="35" borderId="66" xfId="60" applyNumberFormat="1" applyFont="1" applyFill="1" applyBorder="1" applyAlignment="1">
      <alignment horizontal="right" vertical="center"/>
      <protection/>
    </xf>
    <xf numFmtId="176" fontId="8" fillId="34" borderId="67" xfId="60" applyNumberFormat="1" applyFont="1" applyFill="1" applyBorder="1" applyAlignment="1">
      <alignment horizontal="right" vertical="center"/>
      <protection/>
    </xf>
    <xf numFmtId="176" fontId="8" fillId="35" borderId="57" xfId="60" applyNumberFormat="1" applyFont="1" applyFill="1" applyBorder="1" applyAlignment="1">
      <alignment horizontal="right" vertical="center"/>
      <protection/>
    </xf>
    <xf numFmtId="176" fontId="8" fillId="35" borderId="68" xfId="60" applyNumberFormat="1" applyFont="1" applyFill="1" applyBorder="1" applyAlignment="1">
      <alignment horizontal="right" vertical="center"/>
      <protection/>
    </xf>
    <xf numFmtId="176" fontId="3" fillId="34" borderId="49" xfId="60" applyNumberFormat="1" applyFont="1" applyFill="1" applyBorder="1" applyAlignment="1">
      <alignment horizontal="right" vertical="center"/>
      <protection/>
    </xf>
    <xf numFmtId="176" fontId="3" fillId="34" borderId="61" xfId="60" applyNumberFormat="1" applyFont="1" applyFill="1" applyBorder="1" applyAlignment="1">
      <alignment horizontal="right" vertical="center"/>
      <protection/>
    </xf>
    <xf numFmtId="176" fontId="3" fillId="34" borderId="69" xfId="60" applyNumberFormat="1" applyFont="1" applyFill="1" applyBorder="1" applyAlignment="1">
      <alignment horizontal="right" vertical="center"/>
      <protection/>
    </xf>
    <xf numFmtId="176" fontId="3" fillId="34" borderId="66" xfId="60" applyNumberFormat="1" applyFont="1" applyFill="1" applyBorder="1" applyAlignment="1">
      <alignment horizontal="right" vertical="center"/>
      <protection/>
    </xf>
    <xf numFmtId="176" fontId="8" fillId="34" borderId="56" xfId="60" applyNumberFormat="1" applyFont="1" applyFill="1" applyBorder="1" applyAlignment="1">
      <alignment horizontal="right" vertical="center"/>
      <protection/>
    </xf>
    <xf numFmtId="176" fontId="8" fillId="34" borderId="68" xfId="60" applyNumberFormat="1" applyFont="1" applyFill="1" applyBorder="1" applyAlignment="1">
      <alignment horizontal="right" vertical="center"/>
      <protection/>
    </xf>
    <xf numFmtId="3" fontId="3" fillId="34" borderId="70" xfId="60" applyNumberFormat="1" applyFont="1" applyFill="1" applyBorder="1" applyAlignment="1">
      <alignment vertical="center"/>
      <protection/>
    </xf>
    <xf numFmtId="3" fontId="3" fillId="34" borderId="71" xfId="60" applyNumberFormat="1" applyFont="1" applyFill="1" applyBorder="1" applyAlignment="1">
      <alignment vertical="center"/>
      <protection/>
    </xf>
    <xf numFmtId="3" fontId="3" fillId="34" borderId="72" xfId="60" applyNumberFormat="1" applyFont="1" applyFill="1" applyBorder="1" applyAlignment="1">
      <alignment vertical="center"/>
      <protection/>
    </xf>
    <xf numFmtId="3" fontId="3" fillId="34" borderId="20" xfId="60" applyNumberFormat="1" applyFont="1" applyFill="1" applyBorder="1" applyAlignment="1">
      <alignment vertical="center"/>
      <protection/>
    </xf>
    <xf numFmtId="0" fontId="3" fillId="0" borderId="0" xfId="0" applyFont="1" applyAlignment="1">
      <alignment horizontal="left" vertical="top"/>
    </xf>
    <xf numFmtId="0" fontId="3" fillId="0" borderId="25" xfId="60" applyFont="1" applyBorder="1" applyAlignment="1">
      <alignment horizontal="left" vertical="top"/>
      <protection/>
    </xf>
    <xf numFmtId="0" fontId="3" fillId="0" borderId="0" xfId="0" applyFont="1" applyBorder="1" applyAlignment="1">
      <alignment horizontal="left" vertical="top" wrapText="1"/>
    </xf>
    <xf numFmtId="176" fontId="44" fillId="35" borderId="31" xfId="60" applyNumberFormat="1" applyFont="1" applyFill="1" applyBorder="1" applyAlignment="1">
      <alignment horizontal="right" vertical="center"/>
      <protection/>
    </xf>
    <xf numFmtId="176" fontId="44" fillId="35" borderId="29" xfId="60" applyNumberFormat="1" applyFont="1" applyFill="1" applyBorder="1" applyAlignment="1">
      <alignment horizontal="right" vertical="center"/>
      <protection/>
    </xf>
    <xf numFmtId="176" fontId="44" fillId="35" borderId="65" xfId="60" applyNumberFormat="1" applyFont="1" applyFill="1" applyBorder="1" applyAlignment="1">
      <alignment horizontal="right" vertical="center"/>
      <protection/>
    </xf>
    <xf numFmtId="176" fontId="44" fillId="34" borderId="37" xfId="60" applyNumberFormat="1" applyFont="1" applyFill="1" applyBorder="1" applyAlignment="1">
      <alignment horizontal="right" vertical="center"/>
      <protection/>
    </xf>
    <xf numFmtId="176" fontId="44" fillId="34" borderId="62" xfId="60" applyNumberFormat="1" applyFont="1" applyFill="1" applyBorder="1" applyAlignment="1">
      <alignment horizontal="right" vertical="center"/>
      <protection/>
    </xf>
    <xf numFmtId="176" fontId="44" fillId="35" borderId="61" xfId="60" applyNumberFormat="1" applyFont="1" applyFill="1" applyBorder="1" applyAlignment="1">
      <alignment horizontal="right" vertical="center"/>
      <protection/>
    </xf>
    <xf numFmtId="176" fontId="44" fillId="35" borderId="63" xfId="60" applyNumberFormat="1" applyFont="1" applyFill="1" applyBorder="1" applyAlignment="1">
      <alignment horizontal="right" vertical="center"/>
      <protection/>
    </xf>
    <xf numFmtId="176" fontId="44" fillId="35" borderId="66" xfId="60" applyNumberFormat="1" applyFont="1" applyFill="1" applyBorder="1" applyAlignment="1">
      <alignment horizontal="right" vertical="center"/>
      <protection/>
    </xf>
    <xf numFmtId="0" fontId="3" fillId="0" borderId="22" xfId="60" applyFont="1" applyBorder="1" applyAlignment="1">
      <alignment horizontal="center" vertical="center"/>
      <protection/>
    </xf>
    <xf numFmtId="0" fontId="3" fillId="0" borderId="28" xfId="60" applyFont="1" applyBorder="1" applyAlignment="1">
      <alignment horizontal="distributed" vertical="center" wrapText="1"/>
      <protection/>
    </xf>
    <xf numFmtId="3" fontId="3" fillId="34" borderId="73" xfId="60" applyNumberFormat="1" applyFont="1" applyFill="1" applyBorder="1" applyAlignment="1">
      <alignment horizontal="right" vertical="center"/>
      <protection/>
    </xf>
    <xf numFmtId="3" fontId="3" fillId="34" borderId="73" xfId="60" applyNumberFormat="1" applyFont="1" applyFill="1" applyBorder="1" applyAlignment="1">
      <alignment vertical="center"/>
      <protection/>
    </xf>
    <xf numFmtId="0" fontId="10" fillId="0" borderId="0" xfId="60" applyFont="1" applyAlignment="1">
      <alignment horizontal="center" vertical="top"/>
      <protection/>
    </xf>
    <xf numFmtId="0" fontId="3" fillId="0" borderId="0" xfId="60" applyFont="1" applyAlignment="1">
      <alignment horizontal="left" vertical="top"/>
      <protection/>
    </xf>
    <xf numFmtId="0" fontId="3" fillId="0" borderId="74" xfId="60" applyFont="1" applyBorder="1" applyAlignment="1">
      <alignment horizontal="center" vertical="center"/>
      <protection/>
    </xf>
    <xf numFmtId="0" fontId="3" fillId="0" borderId="75" xfId="60" applyFont="1" applyBorder="1" applyAlignment="1">
      <alignment horizontal="center" vertical="center"/>
      <protection/>
    </xf>
    <xf numFmtId="0" fontId="3" fillId="0" borderId="76" xfId="60" applyFont="1" applyBorder="1" applyAlignment="1">
      <alignment horizontal="center" vertical="center"/>
      <protection/>
    </xf>
    <xf numFmtId="0" fontId="3" fillId="0" borderId="77" xfId="60" applyFont="1" applyBorder="1" applyAlignment="1">
      <alignment horizontal="center" vertical="center"/>
      <protection/>
    </xf>
    <xf numFmtId="0" fontId="3" fillId="0" borderId="78" xfId="60" applyFont="1" applyBorder="1" applyAlignment="1">
      <alignment horizontal="distributed" vertical="center" wrapText="1"/>
      <protection/>
    </xf>
    <xf numFmtId="0" fontId="3" fillId="0" borderId="78" xfId="60" applyFont="1" applyBorder="1" applyAlignment="1">
      <alignment horizontal="distributed" vertical="center"/>
      <protection/>
    </xf>
    <xf numFmtId="0" fontId="3" fillId="0" borderId="79" xfId="60" applyFont="1" applyBorder="1" applyAlignment="1">
      <alignment horizontal="distributed" vertical="center"/>
      <protection/>
    </xf>
    <xf numFmtId="0" fontId="3" fillId="0" borderId="80" xfId="60" applyFont="1" applyBorder="1" applyAlignment="1">
      <alignment horizontal="distributed" vertical="center" wrapText="1"/>
      <protection/>
    </xf>
    <xf numFmtId="0" fontId="3" fillId="0" borderId="81" xfId="60" applyFont="1" applyBorder="1" applyAlignment="1">
      <alignment horizontal="distributed" vertical="center"/>
      <protection/>
    </xf>
    <xf numFmtId="0" fontId="3" fillId="0" borderId="19" xfId="60" applyFont="1" applyBorder="1" applyAlignment="1">
      <alignment horizontal="distributed" vertical="center"/>
      <protection/>
    </xf>
    <xf numFmtId="0" fontId="3" fillId="0" borderId="82" xfId="60" applyFont="1" applyBorder="1" applyAlignment="1">
      <alignment horizontal="distributed" vertical="center"/>
      <protection/>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83" xfId="60" applyFont="1" applyBorder="1" applyAlignment="1">
      <alignment horizontal="center" vertical="center"/>
      <protection/>
    </xf>
    <xf numFmtId="0" fontId="3" fillId="0" borderId="84" xfId="60" applyFont="1" applyBorder="1" applyAlignment="1">
      <alignment horizontal="center" vertical="center"/>
      <protection/>
    </xf>
    <xf numFmtId="0" fontId="3" fillId="0" borderId="85" xfId="60" applyFont="1" applyBorder="1" applyAlignment="1">
      <alignment horizontal="center" vertical="center"/>
      <protection/>
    </xf>
    <xf numFmtId="0" fontId="3" fillId="0" borderId="80" xfId="60" applyFont="1" applyBorder="1" applyAlignment="1">
      <alignment horizontal="center" vertical="center"/>
      <protection/>
    </xf>
    <xf numFmtId="0" fontId="3" fillId="0" borderId="86" xfId="60" applyFont="1" applyBorder="1" applyAlignment="1">
      <alignment horizontal="center" vertical="center"/>
      <protection/>
    </xf>
    <xf numFmtId="0" fontId="3" fillId="0" borderId="87" xfId="60" applyFont="1" applyBorder="1" applyAlignment="1">
      <alignment horizontal="center" vertical="center"/>
      <protection/>
    </xf>
    <xf numFmtId="0" fontId="3" fillId="0" borderId="25" xfId="60" applyFont="1" applyBorder="1" applyAlignment="1">
      <alignment horizontal="center" vertical="center"/>
      <protection/>
    </xf>
    <xf numFmtId="0" fontId="3" fillId="0" borderId="88" xfId="60" applyFont="1" applyBorder="1" applyAlignment="1">
      <alignment horizontal="center" vertical="center"/>
      <protection/>
    </xf>
    <xf numFmtId="0" fontId="3" fillId="0" borderId="89" xfId="60" applyFont="1" applyBorder="1" applyAlignment="1">
      <alignment horizontal="center" vertical="center"/>
      <protection/>
    </xf>
    <xf numFmtId="0" fontId="3" fillId="0" borderId="81" xfId="60" applyFont="1" applyBorder="1" applyAlignment="1">
      <alignment horizontal="center" vertical="center"/>
      <protection/>
    </xf>
    <xf numFmtId="0" fontId="3" fillId="0" borderId="0" xfId="60" applyFont="1" applyBorder="1" applyAlignment="1">
      <alignment horizontal="left" vertical="center"/>
      <protection/>
    </xf>
    <xf numFmtId="0" fontId="3" fillId="0" borderId="0" xfId="60" applyFont="1" applyAlignment="1">
      <alignment horizontal="left" vertical="center"/>
      <protection/>
    </xf>
    <xf numFmtId="0" fontId="3" fillId="0" borderId="43" xfId="60" applyFont="1" applyBorder="1" applyAlignment="1">
      <alignment horizontal="distributed" vertical="center" wrapText="1"/>
      <protection/>
    </xf>
    <xf numFmtId="0" fontId="3" fillId="0" borderId="90" xfId="60" applyFont="1" applyBorder="1" applyAlignment="1">
      <alignment horizontal="distributed" vertical="center" wrapText="1"/>
      <protection/>
    </xf>
    <xf numFmtId="0" fontId="3" fillId="0" borderId="91" xfId="60" applyFont="1" applyBorder="1" applyAlignment="1">
      <alignment horizontal="distributed" vertical="center" wrapText="1"/>
      <protection/>
    </xf>
    <xf numFmtId="0" fontId="3" fillId="0" borderId="92" xfId="60" applyFont="1" applyBorder="1" applyAlignment="1">
      <alignment horizontal="center" vertical="center"/>
      <protection/>
    </xf>
    <xf numFmtId="0" fontId="3" fillId="0" borderId="93" xfId="60" applyFont="1" applyBorder="1" applyAlignment="1">
      <alignment horizontal="center" vertical="center"/>
      <protection/>
    </xf>
    <xf numFmtId="0" fontId="3" fillId="0" borderId="94" xfId="60" applyFont="1" applyBorder="1" applyAlignment="1">
      <alignment horizontal="center" vertical="center"/>
      <protection/>
    </xf>
    <xf numFmtId="0" fontId="3" fillId="0" borderId="95" xfId="60" applyFont="1" applyBorder="1" applyAlignment="1">
      <alignment horizontal="center" vertical="center"/>
      <protection/>
    </xf>
    <xf numFmtId="0" fontId="3" fillId="0" borderId="96" xfId="60" applyFont="1" applyBorder="1" applyAlignment="1">
      <alignment horizontal="center" vertical="center"/>
      <protection/>
    </xf>
    <xf numFmtId="0" fontId="3" fillId="0" borderId="97" xfId="60" applyFont="1" applyBorder="1" applyAlignment="1">
      <alignment horizontal="center" vertical="center" wrapText="1"/>
      <protection/>
    </xf>
    <xf numFmtId="0" fontId="3" fillId="0" borderId="98" xfId="60" applyFont="1" applyBorder="1" applyAlignment="1">
      <alignment horizontal="center" vertical="center"/>
      <protection/>
    </xf>
    <xf numFmtId="0" fontId="3" fillId="0" borderId="99" xfId="60" applyFont="1" applyBorder="1" applyAlignment="1">
      <alignment horizontal="center" vertical="center"/>
      <protection/>
    </xf>
    <xf numFmtId="0" fontId="3" fillId="0" borderId="97" xfId="60" applyFont="1" applyBorder="1" applyAlignment="1">
      <alignment horizontal="center" vertical="center"/>
      <protection/>
    </xf>
    <xf numFmtId="0" fontId="3" fillId="0" borderId="74" xfId="60" applyFont="1" applyBorder="1" applyAlignment="1">
      <alignment horizontal="distributed" vertical="center"/>
      <protection/>
    </xf>
    <xf numFmtId="0" fontId="3" fillId="0" borderId="76" xfId="60" applyFont="1" applyBorder="1" applyAlignment="1">
      <alignment horizontal="distributed" vertical="center"/>
      <protection/>
    </xf>
    <xf numFmtId="0" fontId="3" fillId="0" borderId="100" xfId="60" applyFont="1" applyBorder="1" applyAlignment="1">
      <alignment horizontal="distributed" vertical="center"/>
      <protection/>
    </xf>
    <xf numFmtId="0" fontId="3" fillId="0" borderId="101" xfId="60" applyFont="1" applyBorder="1" applyAlignment="1">
      <alignment horizontal="center" vertical="center"/>
      <protection/>
    </xf>
    <xf numFmtId="0" fontId="3" fillId="0" borderId="102" xfId="60" applyFont="1" applyBorder="1" applyAlignment="1">
      <alignment horizontal="left" vertical="center"/>
      <protection/>
    </xf>
    <xf numFmtId="0" fontId="3" fillId="0" borderId="103" xfId="60" applyFont="1" applyBorder="1" applyAlignment="1">
      <alignment horizontal="distributed" vertical="center" wrapText="1"/>
      <protection/>
    </xf>
    <xf numFmtId="0" fontId="3" fillId="0" borderId="104" xfId="60" applyFont="1" applyBorder="1" applyAlignment="1">
      <alignment horizontal="distributed" vertical="center"/>
      <protection/>
    </xf>
    <xf numFmtId="0" fontId="3" fillId="0" borderId="105" xfId="60" applyFont="1" applyBorder="1" applyAlignment="1">
      <alignment horizontal="distributed" vertical="center" wrapText="1"/>
      <protection/>
    </xf>
    <xf numFmtId="0" fontId="3" fillId="0" borderId="106" xfId="60" applyFont="1" applyBorder="1" applyAlignment="1">
      <alignment horizontal="distributed" vertical="center"/>
      <protection/>
    </xf>
    <xf numFmtId="0" fontId="3" fillId="0" borderId="107" xfId="60" applyFont="1" applyBorder="1" applyAlignment="1">
      <alignment horizontal="distributed" vertical="center" wrapText="1"/>
      <protection/>
    </xf>
    <xf numFmtId="0" fontId="3" fillId="0" borderId="108" xfId="60" applyFont="1" applyBorder="1" applyAlignment="1">
      <alignment horizontal="distributed" vertical="center" wrapText="1"/>
      <protection/>
    </xf>
    <xf numFmtId="0" fontId="3" fillId="0" borderId="24" xfId="60" applyFont="1" applyBorder="1" applyAlignment="1">
      <alignment horizontal="center" vertical="center"/>
      <protection/>
    </xf>
    <xf numFmtId="0" fontId="3" fillId="0" borderId="101" xfId="60" applyFont="1" applyBorder="1" applyAlignment="1">
      <alignment horizontal="center" vertical="center" wrapText="1"/>
      <protection/>
    </xf>
    <xf numFmtId="0" fontId="3" fillId="0" borderId="109" xfId="60" applyFont="1" applyBorder="1" applyAlignment="1">
      <alignment horizontal="center" vertical="center"/>
      <protection/>
    </xf>
    <xf numFmtId="0" fontId="3" fillId="0" borderId="110" xfId="60" applyFont="1" applyBorder="1" applyAlignment="1">
      <alignment horizontal="center" vertical="center"/>
      <protection/>
    </xf>
    <xf numFmtId="0" fontId="3" fillId="0" borderId="111"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8"/>
  <sheetViews>
    <sheetView showGridLines="0" tabSelected="1" zoomScaleSheetLayoutView="100" workbookViewId="0" topLeftCell="A1">
      <selection activeCell="A1" sqref="A1:H1"/>
    </sheetView>
  </sheetViews>
  <sheetFormatPr defaultColWidth="5.8515625" defaultRowHeight="15"/>
  <cols>
    <col min="1" max="1" width="11.28125" style="2" customWidth="1"/>
    <col min="2" max="2" width="16.00390625" style="2" customWidth="1"/>
    <col min="3" max="3" width="9.140625" style="2" customWidth="1"/>
    <col min="4" max="4" width="9.7109375" style="2" customWidth="1"/>
    <col min="5" max="5" width="9.140625" style="2" customWidth="1"/>
    <col min="6" max="6" width="11.421875" style="2" bestFit="1" customWidth="1"/>
    <col min="7" max="7" width="9.140625" style="2" customWidth="1"/>
    <col min="8" max="8" width="11.421875" style="2" bestFit="1" customWidth="1"/>
    <col min="9" max="16384" width="5.8515625" style="2" customWidth="1"/>
  </cols>
  <sheetData>
    <row r="1" spans="1:8" ht="15">
      <c r="A1" s="141" t="s">
        <v>60</v>
      </c>
      <c r="B1" s="141"/>
      <c r="C1" s="141"/>
      <c r="D1" s="141"/>
      <c r="E1" s="141"/>
      <c r="F1" s="141"/>
      <c r="G1" s="141"/>
      <c r="H1" s="141"/>
    </row>
    <row r="2" spans="1:8" ht="15">
      <c r="A2" s="77"/>
      <c r="B2" s="77"/>
      <c r="C2" s="77"/>
      <c r="D2" s="77"/>
      <c r="E2" s="77"/>
      <c r="F2" s="77"/>
      <c r="G2" s="77"/>
      <c r="H2" s="77"/>
    </row>
    <row r="3" spans="1:8" ht="11.25" thickBot="1">
      <c r="A3" s="142" t="s">
        <v>59</v>
      </c>
      <c r="B3" s="142"/>
      <c r="C3" s="142"/>
      <c r="D3" s="142"/>
      <c r="E3" s="142"/>
      <c r="F3" s="142"/>
      <c r="G3" s="142"/>
      <c r="H3" s="142"/>
    </row>
    <row r="4" spans="1:8" ht="24" customHeight="1">
      <c r="A4" s="143" t="s">
        <v>58</v>
      </c>
      <c r="B4" s="144"/>
      <c r="C4" s="156" t="s">
        <v>102</v>
      </c>
      <c r="D4" s="157"/>
      <c r="E4" s="156" t="s">
        <v>103</v>
      </c>
      <c r="F4" s="157"/>
      <c r="G4" s="156" t="s">
        <v>104</v>
      </c>
      <c r="H4" s="158"/>
    </row>
    <row r="5" spans="1:8" ht="24" customHeight="1">
      <c r="A5" s="145"/>
      <c r="B5" s="146"/>
      <c r="C5" s="137" t="s">
        <v>56</v>
      </c>
      <c r="D5" s="48" t="s">
        <v>55</v>
      </c>
      <c r="E5" s="137" t="s">
        <v>56</v>
      </c>
      <c r="F5" s="48" t="s">
        <v>55</v>
      </c>
      <c r="G5" s="137" t="s">
        <v>56</v>
      </c>
      <c r="H5" s="47" t="s">
        <v>55</v>
      </c>
    </row>
    <row r="6" spans="1:8" ht="12" customHeight="1">
      <c r="A6" s="46"/>
      <c r="B6" s="45"/>
      <c r="C6" s="23" t="s">
        <v>54</v>
      </c>
      <c r="D6" s="7" t="s">
        <v>53</v>
      </c>
      <c r="E6" s="23" t="s">
        <v>54</v>
      </c>
      <c r="F6" s="7" t="s">
        <v>53</v>
      </c>
      <c r="G6" s="23" t="s">
        <v>54</v>
      </c>
      <c r="H6" s="44" t="s">
        <v>53</v>
      </c>
    </row>
    <row r="7" spans="1:8" ht="30" customHeight="1">
      <c r="A7" s="147" t="s">
        <v>52</v>
      </c>
      <c r="B7" s="43" t="s">
        <v>51</v>
      </c>
      <c r="C7" s="86">
        <v>15867</v>
      </c>
      <c r="D7" s="42">
        <v>11079473</v>
      </c>
      <c r="E7" s="86">
        <v>55502</v>
      </c>
      <c r="F7" s="42">
        <v>463114834</v>
      </c>
      <c r="G7" s="86">
        <v>71369</v>
      </c>
      <c r="H7" s="41">
        <v>474194307</v>
      </c>
    </row>
    <row r="8" spans="1:8" ht="30" customHeight="1">
      <c r="A8" s="148"/>
      <c r="B8" s="40" t="s">
        <v>50</v>
      </c>
      <c r="C8" s="87">
        <v>28968</v>
      </c>
      <c r="D8" s="88">
        <v>11808183</v>
      </c>
      <c r="E8" s="87">
        <v>20411</v>
      </c>
      <c r="F8" s="88">
        <v>14529010</v>
      </c>
      <c r="G8" s="87">
        <v>49379</v>
      </c>
      <c r="H8" s="89">
        <v>26337192</v>
      </c>
    </row>
    <row r="9" spans="1:8" s="34" customFormat="1" ht="30" customHeight="1">
      <c r="A9" s="148"/>
      <c r="B9" s="39" t="s">
        <v>49</v>
      </c>
      <c r="C9" s="90">
        <v>44835</v>
      </c>
      <c r="D9" s="91">
        <v>22887656</v>
      </c>
      <c r="E9" s="90">
        <v>75913</v>
      </c>
      <c r="F9" s="91">
        <v>477643843</v>
      </c>
      <c r="G9" s="90">
        <v>120748</v>
      </c>
      <c r="H9" s="92">
        <v>500531499</v>
      </c>
    </row>
    <row r="10" spans="1:8" ht="30" customHeight="1">
      <c r="A10" s="149"/>
      <c r="B10" s="38" t="s">
        <v>48</v>
      </c>
      <c r="C10" s="93">
        <v>8092</v>
      </c>
      <c r="D10" s="94">
        <v>6141970</v>
      </c>
      <c r="E10" s="93">
        <v>7171</v>
      </c>
      <c r="F10" s="94">
        <v>37820812</v>
      </c>
      <c r="G10" s="93">
        <v>15263</v>
      </c>
      <c r="H10" s="95">
        <v>43962781</v>
      </c>
    </row>
    <row r="11" spans="1:8" ht="30" customHeight="1">
      <c r="A11" s="150" t="s">
        <v>47</v>
      </c>
      <c r="B11" s="37" t="s">
        <v>46</v>
      </c>
      <c r="C11" s="96">
        <v>2291</v>
      </c>
      <c r="D11" s="36">
        <v>781008</v>
      </c>
      <c r="E11" s="97">
        <v>2810</v>
      </c>
      <c r="F11" s="36">
        <v>2144392</v>
      </c>
      <c r="G11" s="97">
        <v>5101</v>
      </c>
      <c r="H11" s="35">
        <v>2925400</v>
      </c>
    </row>
    <row r="12" spans="1:8" ht="30" customHeight="1">
      <c r="A12" s="151"/>
      <c r="B12" s="138" t="s">
        <v>45</v>
      </c>
      <c r="C12" s="139">
        <v>605</v>
      </c>
      <c r="D12" s="56">
        <v>161904</v>
      </c>
      <c r="E12" s="140">
        <v>711</v>
      </c>
      <c r="F12" s="56">
        <v>1058408</v>
      </c>
      <c r="G12" s="140">
        <v>1316</v>
      </c>
      <c r="H12" s="54">
        <v>1220313</v>
      </c>
    </row>
    <row r="13" spans="1:8" ht="30" customHeight="1" thickBot="1">
      <c r="A13" s="152" t="s">
        <v>44</v>
      </c>
      <c r="B13" s="153"/>
      <c r="C13" s="98">
        <v>1995</v>
      </c>
      <c r="D13" s="99">
        <v>114078</v>
      </c>
      <c r="E13" s="98">
        <v>2314</v>
      </c>
      <c r="F13" s="99">
        <v>372421</v>
      </c>
      <c r="G13" s="98">
        <v>4309</v>
      </c>
      <c r="H13" s="100">
        <v>486499</v>
      </c>
    </row>
    <row r="14" spans="1:8" s="82" customFormat="1" ht="3" customHeight="1">
      <c r="A14" s="80"/>
      <c r="B14" s="80"/>
      <c r="C14" s="81"/>
      <c r="D14" s="81"/>
      <c r="E14" s="81"/>
      <c r="F14" s="81"/>
      <c r="G14" s="81"/>
      <c r="H14" s="81"/>
    </row>
    <row r="15" spans="1:10" s="1" customFormat="1" ht="57" customHeight="1">
      <c r="A15" s="128" t="s">
        <v>106</v>
      </c>
      <c r="B15" s="154" t="s">
        <v>107</v>
      </c>
      <c r="C15" s="154"/>
      <c r="D15" s="154"/>
      <c r="E15" s="154"/>
      <c r="F15" s="154"/>
      <c r="G15" s="154"/>
      <c r="H15" s="154"/>
      <c r="J15" s="18"/>
    </row>
    <row r="16" spans="1:8" ht="56.25" customHeight="1">
      <c r="A16" s="126"/>
      <c r="B16" s="155" t="s">
        <v>108</v>
      </c>
      <c r="C16" s="155"/>
      <c r="D16" s="155"/>
      <c r="E16" s="155"/>
      <c r="F16" s="155"/>
      <c r="G16" s="155"/>
      <c r="H16" s="155"/>
    </row>
    <row r="17" spans="1:2" ht="14.25" customHeight="1">
      <c r="A17" s="2" t="s">
        <v>88</v>
      </c>
      <c r="B17" s="2" t="s">
        <v>101</v>
      </c>
    </row>
    <row r="18" ht="10.5">
      <c r="A18" s="79" t="s">
        <v>89</v>
      </c>
    </row>
  </sheetData>
  <sheetProtection/>
  <mergeCells count="11">
    <mergeCell ref="B15:H15"/>
    <mergeCell ref="B16:H16"/>
    <mergeCell ref="C4:D4"/>
    <mergeCell ref="E4:F4"/>
    <mergeCell ref="G4:H4"/>
    <mergeCell ref="A1:H1"/>
    <mergeCell ref="A3:H3"/>
    <mergeCell ref="A4:B5"/>
    <mergeCell ref="A7:A10"/>
    <mergeCell ref="A11:A12"/>
    <mergeCell ref="A13:B13"/>
  </mergeCells>
  <printOptions horizontalCentered="1"/>
  <pageMargins left="0.7874015748031497" right="0.5511811023622047" top="0.9055118110236221" bottom="0.5905511811023623" header="0.5118110236220472" footer="0.31496062992125984"/>
  <pageSetup horizontalDpi="600" verticalDpi="600" orientation="portrait" paperSize="9" scale="95" r:id="rId1"/>
  <headerFooter alignWithMargins="0">
    <oddFooter>&amp;R札幌国税局　
消費税
（R03）</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85" workbookViewId="0" topLeftCell="A1">
      <selection activeCell="A1" sqref="A1"/>
    </sheetView>
  </sheetViews>
  <sheetFormatPr defaultColWidth="9.0039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1.25" thickBot="1">
      <c r="A1" s="2" t="s">
        <v>66</v>
      </c>
    </row>
    <row r="2" spans="1:8" s="2" customFormat="1" ht="15" customHeight="1">
      <c r="A2" s="143" t="s">
        <v>58</v>
      </c>
      <c r="B2" s="144"/>
      <c r="C2" s="161" t="s">
        <v>57</v>
      </c>
      <c r="D2" s="161"/>
      <c r="E2" s="161" t="s">
        <v>65</v>
      </c>
      <c r="F2" s="161"/>
      <c r="G2" s="162" t="s">
        <v>64</v>
      </c>
      <c r="H2" s="163"/>
    </row>
    <row r="3" spans="1:8" s="2" customFormat="1" ht="15" customHeight="1">
      <c r="A3" s="145"/>
      <c r="B3" s="146"/>
      <c r="C3" s="78" t="s">
        <v>63</v>
      </c>
      <c r="D3" s="48" t="s">
        <v>62</v>
      </c>
      <c r="E3" s="78" t="s">
        <v>63</v>
      </c>
      <c r="F3" s="64" t="s">
        <v>62</v>
      </c>
      <c r="G3" s="78" t="s">
        <v>63</v>
      </c>
      <c r="H3" s="63" t="s">
        <v>62</v>
      </c>
    </row>
    <row r="4" spans="1:8" s="58" customFormat="1" ht="15" customHeight="1">
      <c r="A4" s="62"/>
      <c r="B4" s="48"/>
      <c r="C4" s="60" t="s">
        <v>7</v>
      </c>
      <c r="D4" s="61" t="s">
        <v>8</v>
      </c>
      <c r="E4" s="60" t="s">
        <v>7</v>
      </c>
      <c r="F4" s="61" t="s">
        <v>8</v>
      </c>
      <c r="G4" s="60" t="s">
        <v>7</v>
      </c>
      <c r="H4" s="59" t="s">
        <v>8</v>
      </c>
    </row>
    <row r="5" spans="1:8" s="53" customFormat="1" ht="30" customHeight="1">
      <c r="A5" s="164" t="s">
        <v>98</v>
      </c>
      <c r="B5" s="43" t="s">
        <v>61</v>
      </c>
      <c r="C5" s="57">
        <v>50808</v>
      </c>
      <c r="D5" s="42">
        <v>27547172</v>
      </c>
      <c r="E5" s="57">
        <v>77686</v>
      </c>
      <c r="F5" s="42">
        <v>399170552</v>
      </c>
      <c r="G5" s="57">
        <v>128494</v>
      </c>
      <c r="H5" s="41">
        <v>426717723</v>
      </c>
    </row>
    <row r="6" spans="1:8" s="53" customFormat="1" ht="30" customHeight="1">
      <c r="A6" s="165"/>
      <c r="B6" s="38" t="s">
        <v>1</v>
      </c>
      <c r="C6" s="55">
        <v>2978</v>
      </c>
      <c r="D6" s="56">
        <v>2109540</v>
      </c>
      <c r="E6" s="55">
        <v>4200</v>
      </c>
      <c r="F6" s="56">
        <v>23527796</v>
      </c>
      <c r="G6" s="55">
        <v>7178</v>
      </c>
      <c r="H6" s="54">
        <v>25637336</v>
      </c>
    </row>
    <row r="7" spans="1:8" s="53" customFormat="1" ht="30" customHeight="1">
      <c r="A7" s="164" t="s">
        <v>99</v>
      </c>
      <c r="B7" s="52" t="s">
        <v>61</v>
      </c>
      <c r="C7" s="51">
        <v>49788</v>
      </c>
      <c r="D7" s="36">
        <v>26832345</v>
      </c>
      <c r="E7" s="51">
        <v>77824</v>
      </c>
      <c r="F7" s="36">
        <v>407146879</v>
      </c>
      <c r="G7" s="51">
        <v>127612</v>
      </c>
      <c r="H7" s="35">
        <v>433979224</v>
      </c>
    </row>
    <row r="8" spans="1:8" s="53" customFormat="1" ht="30" customHeight="1">
      <c r="A8" s="165"/>
      <c r="B8" s="38" t="s">
        <v>1</v>
      </c>
      <c r="C8" s="55">
        <v>3176</v>
      </c>
      <c r="D8" s="56">
        <v>3122602</v>
      </c>
      <c r="E8" s="55">
        <v>4493</v>
      </c>
      <c r="F8" s="56">
        <v>27127801</v>
      </c>
      <c r="G8" s="55">
        <v>7669</v>
      </c>
      <c r="H8" s="54">
        <v>30250404</v>
      </c>
    </row>
    <row r="9" spans="1:8" s="53" customFormat="1" ht="30" customHeight="1">
      <c r="A9" s="164" t="s">
        <v>100</v>
      </c>
      <c r="B9" s="52" t="s">
        <v>61</v>
      </c>
      <c r="C9" s="51">
        <v>49071</v>
      </c>
      <c r="D9" s="36">
        <v>25745579</v>
      </c>
      <c r="E9" s="51">
        <v>77061</v>
      </c>
      <c r="F9" s="36">
        <v>426280103</v>
      </c>
      <c r="G9" s="51">
        <v>126132</v>
      </c>
      <c r="H9" s="35">
        <v>452025682</v>
      </c>
    </row>
    <row r="10" spans="1:8" s="53" customFormat="1" ht="30" customHeight="1">
      <c r="A10" s="165"/>
      <c r="B10" s="38" t="s">
        <v>1</v>
      </c>
      <c r="C10" s="55">
        <v>3707</v>
      </c>
      <c r="D10" s="56">
        <v>3299582</v>
      </c>
      <c r="E10" s="55">
        <v>4887</v>
      </c>
      <c r="F10" s="56">
        <v>32946459</v>
      </c>
      <c r="G10" s="55">
        <v>8594</v>
      </c>
      <c r="H10" s="54">
        <v>36246041</v>
      </c>
    </row>
    <row r="11" spans="1:8" s="53" customFormat="1" ht="30" customHeight="1">
      <c r="A11" s="164" t="s">
        <v>105</v>
      </c>
      <c r="B11" s="52" t="s">
        <v>61</v>
      </c>
      <c r="C11" s="51">
        <v>45614</v>
      </c>
      <c r="D11" s="36">
        <v>22333102</v>
      </c>
      <c r="E11" s="51">
        <v>76014</v>
      </c>
      <c r="F11" s="36">
        <v>469123160</v>
      </c>
      <c r="G11" s="51">
        <v>121628</v>
      </c>
      <c r="H11" s="35">
        <v>491456262</v>
      </c>
    </row>
    <row r="12" spans="1:8" s="53" customFormat="1" ht="30" customHeight="1">
      <c r="A12" s="165"/>
      <c r="B12" s="38" t="s">
        <v>1</v>
      </c>
      <c r="C12" s="55">
        <v>6855</v>
      </c>
      <c r="D12" s="56">
        <v>6094048</v>
      </c>
      <c r="E12" s="55">
        <v>6478</v>
      </c>
      <c r="F12" s="56">
        <v>69471310</v>
      </c>
      <c r="G12" s="55">
        <v>13333</v>
      </c>
      <c r="H12" s="54">
        <v>75565358</v>
      </c>
    </row>
    <row r="13" spans="1:8" s="2" customFormat="1" ht="30" customHeight="1">
      <c r="A13" s="159" t="s">
        <v>109</v>
      </c>
      <c r="B13" s="52" t="s">
        <v>61</v>
      </c>
      <c r="C13" s="51">
        <v>44835</v>
      </c>
      <c r="D13" s="36">
        <v>22887656</v>
      </c>
      <c r="E13" s="51">
        <v>75913</v>
      </c>
      <c r="F13" s="36">
        <v>477643843</v>
      </c>
      <c r="G13" s="51">
        <v>120748</v>
      </c>
      <c r="H13" s="35">
        <v>500531499</v>
      </c>
    </row>
    <row r="14" spans="1:8" s="2" customFormat="1" ht="30" customHeight="1" thickBot="1">
      <c r="A14" s="160"/>
      <c r="B14" s="50" t="s">
        <v>1</v>
      </c>
      <c r="C14" s="101">
        <v>8092</v>
      </c>
      <c r="D14" s="102">
        <v>6141970</v>
      </c>
      <c r="E14" s="101">
        <v>7171</v>
      </c>
      <c r="F14" s="102">
        <v>37820812</v>
      </c>
      <c r="G14" s="101">
        <v>15263</v>
      </c>
      <c r="H14" s="103">
        <v>43962781</v>
      </c>
    </row>
    <row r="15" spans="1:7" s="2" customFormat="1" ht="10.5">
      <c r="A15" s="127"/>
      <c r="E15" s="49"/>
      <c r="G15" s="49"/>
    </row>
    <row r="16" spans="5:7" s="2" customFormat="1" ht="10.5">
      <c r="E16" s="49"/>
      <c r="G16" s="49"/>
    </row>
    <row r="17" spans="5:7" s="2" customFormat="1" ht="10.5">
      <c r="E17" s="49"/>
      <c r="G17" s="49"/>
    </row>
    <row r="18" spans="5:7" s="2" customFormat="1" ht="10.5">
      <c r="E18" s="49"/>
      <c r="G18" s="49"/>
    </row>
    <row r="19" spans="5:7" s="2" customFormat="1" ht="10.5">
      <c r="E19" s="49"/>
      <c r="G19" s="49"/>
    </row>
    <row r="20" spans="5:7" s="2" customFormat="1" ht="10.5">
      <c r="E20" s="49"/>
      <c r="G20" s="49"/>
    </row>
    <row r="21" spans="5:7" s="2" customFormat="1" ht="10.5">
      <c r="E21" s="49"/>
      <c r="G21" s="49"/>
    </row>
    <row r="22" spans="5:7" s="2" customFormat="1" ht="10.5">
      <c r="E22" s="49"/>
      <c r="G22" s="49"/>
    </row>
  </sheetData>
  <sheetProtection/>
  <mergeCells count="9">
    <mergeCell ref="A13:A14"/>
    <mergeCell ref="A2:B3"/>
    <mergeCell ref="C2:D2"/>
    <mergeCell ref="E2:F2"/>
    <mergeCell ref="G2:H2"/>
    <mergeCell ref="A5:A6"/>
    <mergeCell ref="A7:A8"/>
    <mergeCell ref="A9:A10"/>
    <mergeCell ref="A11:A12"/>
  </mergeCells>
  <printOptions horizontalCentered="1"/>
  <pageMargins left="0.7874015748031497" right="0.5511811023622047" top="0.9055118110236221" bottom="0.5905511811023623" header="0.5118110236220472" footer="0.31496062992125984"/>
  <pageSetup horizontalDpi="600" verticalDpi="600" orientation="portrait" paperSize="9" scale="90" r:id="rId1"/>
  <headerFooter alignWithMargins="0">
    <oddFooter>&amp;R札幌国税局　
消費税
（R03）</oddFooter>
  </headerFooter>
  <colBreaks count="1" manualBreakCount="1">
    <brk id="8" max="13" man="1"/>
  </colBreaks>
</worksheet>
</file>

<file path=xl/worksheets/sheet3.xml><?xml version="1.0" encoding="utf-8"?>
<worksheet xmlns="http://schemas.openxmlformats.org/spreadsheetml/2006/main" xmlns:r="http://schemas.openxmlformats.org/officeDocument/2006/relationships">
  <dimension ref="A1:I7"/>
  <sheetViews>
    <sheetView showGridLines="0" zoomScaleSheetLayoutView="85" workbookViewId="0" topLeftCell="A1">
      <selection activeCell="A1" sqref="A1"/>
    </sheetView>
  </sheetViews>
  <sheetFormatPr defaultColWidth="9.00390625" defaultRowHeight="15"/>
  <cols>
    <col min="1" max="2" width="18.57421875" style="3" customWidth="1"/>
    <col min="3" max="3" width="23.57421875" style="3" customWidth="1"/>
    <col min="4" max="4" width="18.57421875" style="3" customWidth="1"/>
    <col min="5" max="5" width="3.140625" style="3" customWidth="1"/>
    <col min="6" max="16384" width="9.00390625" style="3" customWidth="1"/>
  </cols>
  <sheetData>
    <row r="1" s="58" customFormat="1" ht="15" customHeight="1" thickBot="1">
      <c r="A1" s="58" t="s">
        <v>67</v>
      </c>
    </row>
    <row r="2" spans="1:4" s="1" customFormat="1" ht="19.5" customHeight="1">
      <c r="A2" s="65" t="s">
        <v>68</v>
      </c>
      <c r="B2" s="66" t="s">
        <v>69</v>
      </c>
      <c r="C2" s="67" t="s">
        <v>70</v>
      </c>
      <c r="D2" s="68" t="s">
        <v>87</v>
      </c>
    </row>
    <row r="3" spans="1:4" s="58" customFormat="1" ht="15" customHeight="1">
      <c r="A3" s="69" t="s">
        <v>7</v>
      </c>
      <c r="B3" s="70" t="s">
        <v>7</v>
      </c>
      <c r="C3" s="71" t="s">
        <v>7</v>
      </c>
      <c r="D3" s="72" t="s">
        <v>7</v>
      </c>
    </row>
    <row r="4" spans="1:9" s="1" customFormat="1" ht="30" customHeight="1" thickBot="1">
      <c r="A4" s="122">
        <v>133309</v>
      </c>
      <c r="B4" s="123">
        <v>5852</v>
      </c>
      <c r="C4" s="124">
        <v>373</v>
      </c>
      <c r="D4" s="125">
        <v>139534</v>
      </c>
      <c r="E4" s="73"/>
      <c r="G4" s="73"/>
      <c r="I4" s="73"/>
    </row>
    <row r="5" spans="1:9" s="85" customFormat="1" ht="3" customHeight="1">
      <c r="A5" s="83"/>
      <c r="B5" s="83"/>
      <c r="C5" s="83"/>
      <c r="D5" s="83"/>
      <c r="E5" s="84"/>
      <c r="G5" s="84"/>
      <c r="I5" s="84"/>
    </row>
    <row r="6" spans="1:4" s="1" customFormat="1" ht="15" customHeight="1">
      <c r="A6" s="166" t="s">
        <v>110</v>
      </c>
      <c r="B6" s="166"/>
      <c r="C6" s="166"/>
      <c r="D6" s="166"/>
    </row>
    <row r="7" spans="1:5" s="1" customFormat="1" ht="15" customHeight="1">
      <c r="A7" s="167" t="s">
        <v>86</v>
      </c>
      <c r="B7" s="167"/>
      <c r="C7" s="167"/>
      <c r="D7" s="167"/>
      <c r="E7" s="167"/>
    </row>
  </sheetData>
  <sheetProtection/>
  <mergeCells count="2">
    <mergeCell ref="A6:D6"/>
    <mergeCell ref="A7:E7"/>
  </mergeCells>
  <printOptions horizontalCentered="1"/>
  <pageMargins left="0.7874015748031497" right="0.5511811023622047" top="0.9055118110236221" bottom="0.5905511811023623" header="0.5118110236220472" footer="0.31496062992125984"/>
  <pageSetup horizontalDpi="600" verticalDpi="600" orientation="portrait" paperSize="9" r:id="rId1"/>
  <headerFooter alignWithMargins="0">
    <oddFooter>&amp;R札幌国税局　
消費税
（R03）</oddFooter>
  </headerFooter>
</worksheet>
</file>

<file path=xl/worksheets/sheet4.xml><?xml version="1.0" encoding="utf-8"?>
<worksheet xmlns="http://schemas.openxmlformats.org/spreadsheetml/2006/main" xmlns:r="http://schemas.openxmlformats.org/officeDocument/2006/relationships">
  <dimension ref="A1:N53"/>
  <sheetViews>
    <sheetView zoomScaleSheetLayoutView="85" workbookViewId="0" topLeftCell="A1">
      <selection activeCell="A1" sqref="A1"/>
    </sheetView>
  </sheetViews>
  <sheetFormatPr defaultColWidth="9.0039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4" ht="12.75">
      <c r="A1" s="1" t="s">
        <v>96</v>
      </c>
      <c r="B1" s="1"/>
      <c r="C1" s="1"/>
      <c r="D1" s="1"/>
      <c r="E1" s="1"/>
      <c r="F1" s="1"/>
      <c r="G1" s="1"/>
      <c r="H1" s="2"/>
      <c r="I1" s="2"/>
      <c r="J1" s="2"/>
      <c r="K1" s="2"/>
      <c r="L1" s="2"/>
      <c r="M1" s="2"/>
      <c r="N1" s="2"/>
    </row>
    <row r="2" spans="1:14" ht="13.5" thickBot="1">
      <c r="A2" s="167" t="s">
        <v>0</v>
      </c>
      <c r="B2" s="167"/>
      <c r="C2" s="167"/>
      <c r="D2" s="167"/>
      <c r="E2" s="167"/>
      <c r="F2" s="167"/>
      <c r="G2" s="167"/>
      <c r="H2" s="2"/>
      <c r="I2" s="2"/>
      <c r="J2" s="2"/>
      <c r="K2" s="2"/>
      <c r="L2" s="2"/>
      <c r="M2" s="2"/>
      <c r="N2" s="2"/>
    </row>
    <row r="3" spans="1:14" ht="19.5" customHeight="1">
      <c r="A3" s="180" t="s">
        <v>71</v>
      </c>
      <c r="B3" s="183" t="s">
        <v>76</v>
      </c>
      <c r="C3" s="183"/>
      <c r="D3" s="183"/>
      <c r="E3" s="183"/>
      <c r="F3" s="183"/>
      <c r="G3" s="183"/>
      <c r="H3" s="179" t="s">
        <v>1</v>
      </c>
      <c r="I3" s="177"/>
      <c r="J3" s="176" t="s">
        <v>2</v>
      </c>
      <c r="K3" s="177"/>
      <c r="L3" s="179" t="s">
        <v>3</v>
      </c>
      <c r="M3" s="177"/>
      <c r="N3" s="168" t="s">
        <v>4</v>
      </c>
    </row>
    <row r="4" spans="1:14" ht="17.25" customHeight="1">
      <c r="A4" s="181"/>
      <c r="B4" s="171" t="s">
        <v>72</v>
      </c>
      <c r="C4" s="171"/>
      <c r="D4" s="172" t="s">
        <v>5</v>
      </c>
      <c r="E4" s="173"/>
      <c r="F4" s="174" t="s">
        <v>6</v>
      </c>
      <c r="G4" s="175"/>
      <c r="H4" s="174"/>
      <c r="I4" s="178"/>
      <c r="J4" s="174"/>
      <c r="K4" s="178"/>
      <c r="L4" s="174"/>
      <c r="M4" s="178"/>
      <c r="N4" s="169"/>
    </row>
    <row r="5" spans="1:14" s="4" customFormat="1" ht="28.5" customHeight="1">
      <c r="A5" s="182"/>
      <c r="B5" s="75" t="s">
        <v>73</v>
      </c>
      <c r="C5" s="26" t="s">
        <v>74</v>
      </c>
      <c r="D5" s="75" t="s">
        <v>90</v>
      </c>
      <c r="E5" s="26" t="s">
        <v>91</v>
      </c>
      <c r="F5" s="75" t="s">
        <v>73</v>
      </c>
      <c r="G5" s="26" t="s">
        <v>75</v>
      </c>
      <c r="H5" s="75" t="s">
        <v>73</v>
      </c>
      <c r="I5" s="27" t="s">
        <v>77</v>
      </c>
      <c r="J5" s="75" t="s">
        <v>73</v>
      </c>
      <c r="K5" s="27" t="s">
        <v>78</v>
      </c>
      <c r="L5" s="25" t="s">
        <v>73</v>
      </c>
      <c r="M5" s="28" t="s">
        <v>79</v>
      </c>
      <c r="N5" s="170"/>
    </row>
    <row r="6" spans="1:14" s="10" customFormat="1" ht="9">
      <c r="A6" s="5"/>
      <c r="B6" s="6" t="s">
        <v>7</v>
      </c>
      <c r="C6" s="7" t="s">
        <v>8</v>
      </c>
      <c r="D6" s="6" t="s">
        <v>7</v>
      </c>
      <c r="E6" s="7" t="s">
        <v>8</v>
      </c>
      <c r="F6" s="6" t="s">
        <v>7</v>
      </c>
      <c r="G6" s="7" t="s">
        <v>8</v>
      </c>
      <c r="H6" s="6" t="s">
        <v>7</v>
      </c>
      <c r="I6" s="8" t="s">
        <v>8</v>
      </c>
      <c r="J6" s="6" t="s">
        <v>7</v>
      </c>
      <c r="K6" s="8" t="s">
        <v>8</v>
      </c>
      <c r="L6" s="6" t="s">
        <v>95</v>
      </c>
      <c r="M6" s="8" t="s">
        <v>8</v>
      </c>
      <c r="N6" s="9"/>
    </row>
    <row r="7" spans="1:14" ht="18.75" customHeight="1">
      <c r="A7" s="11" t="s">
        <v>9</v>
      </c>
      <c r="B7" s="104">
        <f>_xlfn.COMPOUNDVALUE(1)</f>
        <v>362</v>
      </c>
      <c r="C7" s="129">
        <v>246205</v>
      </c>
      <c r="D7" s="104">
        <f>_xlfn.COMPOUNDVALUE(2)</f>
        <v>336</v>
      </c>
      <c r="E7" s="129">
        <v>215951</v>
      </c>
      <c r="F7" s="104">
        <f>_xlfn.COMPOUNDVALUE(3)</f>
        <v>698</v>
      </c>
      <c r="G7" s="129">
        <v>462156</v>
      </c>
      <c r="H7" s="104">
        <f>_xlfn.COMPOUNDVALUE(4)</f>
        <v>192</v>
      </c>
      <c r="I7" s="134">
        <v>69455</v>
      </c>
      <c r="J7" s="104">
        <v>69</v>
      </c>
      <c r="K7" s="106">
        <v>20144</v>
      </c>
      <c r="L7" s="104">
        <v>927</v>
      </c>
      <c r="M7" s="106">
        <v>412845</v>
      </c>
      <c r="N7" s="12" t="s">
        <v>9</v>
      </c>
    </row>
    <row r="8" spans="1:14" ht="18.75" customHeight="1">
      <c r="A8" s="11" t="s">
        <v>10</v>
      </c>
      <c r="B8" s="104">
        <f>_xlfn.COMPOUNDVALUE(5)</f>
        <v>1302</v>
      </c>
      <c r="C8" s="129">
        <v>746426</v>
      </c>
      <c r="D8" s="104">
        <f>_xlfn.COMPOUNDVALUE(6)</f>
        <v>1894</v>
      </c>
      <c r="E8" s="129">
        <v>880434</v>
      </c>
      <c r="F8" s="104">
        <f>_xlfn.COMPOUNDVALUE(7)</f>
        <v>3196</v>
      </c>
      <c r="G8" s="129">
        <v>1626860</v>
      </c>
      <c r="H8" s="104">
        <f>_xlfn.COMPOUNDVALUE(8)</f>
        <v>306</v>
      </c>
      <c r="I8" s="134">
        <v>167341</v>
      </c>
      <c r="J8" s="104">
        <v>258</v>
      </c>
      <c r="K8" s="106">
        <v>79656</v>
      </c>
      <c r="L8" s="104">
        <v>3676</v>
      </c>
      <c r="M8" s="106">
        <v>1539175</v>
      </c>
      <c r="N8" s="12" t="s">
        <v>10</v>
      </c>
    </row>
    <row r="9" spans="1:14" ht="18.75" customHeight="1">
      <c r="A9" s="11" t="s">
        <v>11</v>
      </c>
      <c r="B9" s="104">
        <f>_xlfn.COMPOUNDVALUE(9)</f>
        <v>1197</v>
      </c>
      <c r="C9" s="129">
        <v>648713</v>
      </c>
      <c r="D9" s="104">
        <f>_xlfn.COMPOUNDVALUE(10)</f>
        <v>1521</v>
      </c>
      <c r="E9" s="129">
        <v>761603</v>
      </c>
      <c r="F9" s="104">
        <f>_xlfn.COMPOUNDVALUE(11)</f>
        <v>2718</v>
      </c>
      <c r="G9" s="129">
        <v>1410316</v>
      </c>
      <c r="H9" s="104">
        <f>_xlfn.COMPOUNDVALUE(12)</f>
        <v>253</v>
      </c>
      <c r="I9" s="134">
        <v>165450</v>
      </c>
      <c r="J9" s="104">
        <v>212</v>
      </c>
      <c r="K9" s="106">
        <v>54340</v>
      </c>
      <c r="L9" s="104">
        <v>3107</v>
      </c>
      <c r="M9" s="106">
        <v>1299206</v>
      </c>
      <c r="N9" s="12" t="s">
        <v>11</v>
      </c>
    </row>
    <row r="10" spans="1:14" ht="18.75" customHeight="1">
      <c r="A10" s="11" t="s">
        <v>12</v>
      </c>
      <c r="B10" s="104">
        <f>_xlfn.COMPOUNDVALUE(13)</f>
        <v>1219</v>
      </c>
      <c r="C10" s="129">
        <v>906069</v>
      </c>
      <c r="D10" s="104">
        <f>_xlfn.COMPOUNDVALUE(14)</f>
        <v>1462</v>
      </c>
      <c r="E10" s="129">
        <v>855664</v>
      </c>
      <c r="F10" s="104">
        <f>_xlfn.COMPOUNDVALUE(15)</f>
        <v>2681</v>
      </c>
      <c r="G10" s="129">
        <v>1761734</v>
      </c>
      <c r="H10" s="104">
        <f>_xlfn.COMPOUNDVALUE(16)</f>
        <v>267</v>
      </c>
      <c r="I10" s="134">
        <v>133043</v>
      </c>
      <c r="J10" s="104">
        <v>229</v>
      </c>
      <c r="K10" s="106">
        <v>45689</v>
      </c>
      <c r="L10" s="104">
        <v>3089</v>
      </c>
      <c r="M10" s="106">
        <v>1674379</v>
      </c>
      <c r="N10" s="12" t="s">
        <v>12</v>
      </c>
    </row>
    <row r="11" spans="1:14" ht="18.75" customHeight="1">
      <c r="A11" s="11" t="s">
        <v>13</v>
      </c>
      <c r="B11" s="104">
        <f>_xlfn.COMPOUNDVALUE(17)</f>
        <v>838</v>
      </c>
      <c r="C11" s="129">
        <v>478577</v>
      </c>
      <c r="D11" s="104">
        <f>_xlfn.COMPOUNDVALUE(18)</f>
        <v>1011</v>
      </c>
      <c r="E11" s="129">
        <v>490053</v>
      </c>
      <c r="F11" s="104">
        <f>_xlfn.COMPOUNDVALUE(19)</f>
        <v>1849</v>
      </c>
      <c r="G11" s="129">
        <v>968630</v>
      </c>
      <c r="H11" s="104">
        <f>_xlfn.COMPOUNDVALUE(20)</f>
        <v>131</v>
      </c>
      <c r="I11" s="134">
        <v>64722</v>
      </c>
      <c r="J11" s="104">
        <v>164</v>
      </c>
      <c r="K11" s="106">
        <v>61745</v>
      </c>
      <c r="L11" s="104">
        <v>2067</v>
      </c>
      <c r="M11" s="106">
        <v>965653</v>
      </c>
      <c r="N11" s="12" t="s">
        <v>13</v>
      </c>
    </row>
    <row r="12" spans="1:14" ht="18.75" customHeight="1">
      <c r="A12" s="11" t="s">
        <v>80</v>
      </c>
      <c r="B12" s="104">
        <f>_xlfn.COMPOUNDVALUE(21)</f>
        <v>883</v>
      </c>
      <c r="C12" s="129">
        <v>480074</v>
      </c>
      <c r="D12" s="104">
        <f>_xlfn.COMPOUNDVALUE(22)</f>
        <v>2152</v>
      </c>
      <c r="E12" s="129">
        <v>756432</v>
      </c>
      <c r="F12" s="104">
        <f>_xlfn.COMPOUNDVALUE(23)</f>
        <v>3035</v>
      </c>
      <c r="G12" s="129">
        <v>1236506</v>
      </c>
      <c r="H12" s="104">
        <f>_xlfn.COMPOUNDVALUE(24)</f>
        <v>108</v>
      </c>
      <c r="I12" s="134">
        <v>27750</v>
      </c>
      <c r="J12" s="104">
        <v>134</v>
      </c>
      <c r="K12" s="106">
        <v>34548</v>
      </c>
      <c r="L12" s="104">
        <v>3223</v>
      </c>
      <c r="M12" s="106">
        <v>1243304</v>
      </c>
      <c r="N12" s="12" t="s">
        <v>80</v>
      </c>
    </row>
    <row r="13" spans="1:14" ht="18.75" customHeight="1">
      <c r="A13" s="11" t="s">
        <v>14</v>
      </c>
      <c r="B13" s="104">
        <f>_xlfn.COMPOUNDVALUE(25)</f>
        <v>234</v>
      </c>
      <c r="C13" s="129">
        <v>105791</v>
      </c>
      <c r="D13" s="104">
        <f>_xlfn.COMPOUNDVALUE(26)</f>
        <v>314</v>
      </c>
      <c r="E13" s="129">
        <v>119213</v>
      </c>
      <c r="F13" s="104">
        <f>_xlfn.COMPOUNDVALUE(27)</f>
        <v>548</v>
      </c>
      <c r="G13" s="129">
        <v>225004</v>
      </c>
      <c r="H13" s="104">
        <f>_xlfn.COMPOUNDVALUE(28)</f>
        <v>55</v>
      </c>
      <c r="I13" s="134">
        <v>8801</v>
      </c>
      <c r="J13" s="104">
        <v>45</v>
      </c>
      <c r="K13" s="106">
        <v>5916</v>
      </c>
      <c r="L13" s="104">
        <v>628</v>
      </c>
      <c r="M13" s="106">
        <v>222120</v>
      </c>
      <c r="N13" s="12" t="s">
        <v>14</v>
      </c>
    </row>
    <row r="14" spans="1:14" ht="18.75" customHeight="1">
      <c r="A14" s="11" t="s">
        <v>15</v>
      </c>
      <c r="B14" s="104">
        <f>_xlfn.COMPOUNDVALUE(29)</f>
        <v>304</v>
      </c>
      <c r="C14" s="129">
        <v>162950</v>
      </c>
      <c r="D14" s="104">
        <f>_xlfn.COMPOUNDVALUE(30)</f>
        <v>580</v>
      </c>
      <c r="E14" s="129">
        <v>237880</v>
      </c>
      <c r="F14" s="104">
        <f>_xlfn.COMPOUNDVALUE(31)</f>
        <v>884</v>
      </c>
      <c r="G14" s="129">
        <v>400831</v>
      </c>
      <c r="H14" s="104">
        <f>_xlfn.COMPOUNDVALUE(32)</f>
        <v>55</v>
      </c>
      <c r="I14" s="134">
        <v>22185</v>
      </c>
      <c r="J14" s="104">
        <v>66</v>
      </c>
      <c r="K14" s="106">
        <v>20689</v>
      </c>
      <c r="L14" s="104">
        <v>977</v>
      </c>
      <c r="M14" s="106">
        <v>399334</v>
      </c>
      <c r="N14" s="12" t="s">
        <v>15</v>
      </c>
    </row>
    <row r="15" spans="1:14" ht="18.75" customHeight="1">
      <c r="A15" s="11" t="s">
        <v>16</v>
      </c>
      <c r="B15" s="104">
        <f>_xlfn.COMPOUNDVALUE(33)</f>
        <v>624</v>
      </c>
      <c r="C15" s="129">
        <v>339186</v>
      </c>
      <c r="D15" s="104">
        <f>_xlfn.COMPOUNDVALUE(34)</f>
        <v>1351</v>
      </c>
      <c r="E15" s="129">
        <v>466657</v>
      </c>
      <c r="F15" s="104">
        <f>_xlfn.COMPOUNDVALUE(35)</f>
        <v>1975</v>
      </c>
      <c r="G15" s="129">
        <v>805843</v>
      </c>
      <c r="H15" s="104">
        <f>_xlfn.COMPOUNDVALUE(36)</f>
        <v>234</v>
      </c>
      <c r="I15" s="134">
        <v>131752</v>
      </c>
      <c r="J15" s="104">
        <v>153</v>
      </c>
      <c r="K15" s="106">
        <v>43629</v>
      </c>
      <c r="L15" s="104">
        <v>2312</v>
      </c>
      <c r="M15" s="106">
        <v>717721</v>
      </c>
      <c r="N15" s="12" t="s">
        <v>16</v>
      </c>
    </row>
    <row r="16" spans="1:14" ht="18.75" customHeight="1">
      <c r="A16" s="11" t="s">
        <v>17</v>
      </c>
      <c r="B16" s="104">
        <f>_xlfn.COMPOUNDVALUE(37)</f>
        <v>303</v>
      </c>
      <c r="C16" s="129">
        <v>168293</v>
      </c>
      <c r="D16" s="104">
        <f>_xlfn.COMPOUNDVALUE(38)</f>
        <v>847</v>
      </c>
      <c r="E16" s="129">
        <v>328474</v>
      </c>
      <c r="F16" s="104">
        <f>_xlfn.COMPOUNDVALUE(39)</f>
        <v>1150</v>
      </c>
      <c r="G16" s="129">
        <v>496767</v>
      </c>
      <c r="H16" s="104">
        <f>_xlfn.COMPOUNDVALUE(40)</f>
        <v>59</v>
      </c>
      <c r="I16" s="134">
        <v>46599</v>
      </c>
      <c r="J16" s="104">
        <v>44</v>
      </c>
      <c r="K16" s="106">
        <v>9277</v>
      </c>
      <c r="L16" s="104">
        <v>1232</v>
      </c>
      <c r="M16" s="106">
        <v>459445</v>
      </c>
      <c r="N16" s="12" t="s">
        <v>17</v>
      </c>
    </row>
    <row r="17" spans="1:14" ht="18.75" customHeight="1">
      <c r="A17" s="11" t="s">
        <v>18</v>
      </c>
      <c r="B17" s="104">
        <f>_xlfn.COMPOUNDVALUE(41)</f>
        <v>878</v>
      </c>
      <c r="C17" s="129">
        <v>568994</v>
      </c>
      <c r="D17" s="104">
        <f>_xlfn.COMPOUNDVALUE(42)</f>
        <v>1149</v>
      </c>
      <c r="E17" s="129">
        <v>458872</v>
      </c>
      <c r="F17" s="104">
        <f>_xlfn.COMPOUNDVALUE(43)</f>
        <v>2027</v>
      </c>
      <c r="G17" s="129">
        <v>1027866</v>
      </c>
      <c r="H17" s="104">
        <f>_xlfn.COMPOUNDVALUE(44)</f>
        <v>351</v>
      </c>
      <c r="I17" s="134">
        <v>349123</v>
      </c>
      <c r="J17" s="104">
        <v>148</v>
      </c>
      <c r="K17" s="106">
        <v>24265</v>
      </c>
      <c r="L17" s="104">
        <v>2436</v>
      </c>
      <c r="M17" s="106">
        <v>703008</v>
      </c>
      <c r="N17" s="12" t="s">
        <v>18</v>
      </c>
    </row>
    <row r="18" spans="1:14" ht="18.75" customHeight="1">
      <c r="A18" s="11" t="s">
        <v>19</v>
      </c>
      <c r="B18" s="104">
        <f>_xlfn.COMPOUNDVALUE(45)</f>
        <v>1850</v>
      </c>
      <c r="C18" s="129">
        <v>1258716</v>
      </c>
      <c r="D18" s="104">
        <f>_xlfn.COMPOUNDVALUE(46)</f>
        <v>1867</v>
      </c>
      <c r="E18" s="129">
        <v>912280</v>
      </c>
      <c r="F18" s="104">
        <f>_xlfn.COMPOUNDVALUE(47)</f>
        <v>3717</v>
      </c>
      <c r="G18" s="129">
        <v>2170996</v>
      </c>
      <c r="H18" s="104">
        <f>_xlfn.COMPOUNDVALUE(48)</f>
        <v>1595</v>
      </c>
      <c r="I18" s="134">
        <v>1475134</v>
      </c>
      <c r="J18" s="104">
        <v>252</v>
      </c>
      <c r="K18" s="106">
        <v>22321</v>
      </c>
      <c r="L18" s="104">
        <v>5411</v>
      </c>
      <c r="M18" s="106">
        <v>718183</v>
      </c>
      <c r="N18" s="12" t="s">
        <v>19</v>
      </c>
    </row>
    <row r="19" spans="1:14" ht="18.75" customHeight="1">
      <c r="A19" s="11" t="s">
        <v>20</v>
      </c>
      <c r="B19" s="104">
        <f>_xlfn.COMPOUNDVALUE(49)</f>
        <v>708</v>
      </c>
      <c r="C19" s="129">
        <v>806641</v>
      </c>
      <c r="D19" s="104">
        <f>_xlfn.COMPOUNDVALUE(50)</f>
        <v>948</v>
      </c>
      <c r="E19" s="129">
        <v>449462</v>
      </c>
      <c r="F19" s="104">
        <f>_xlfn.COMPOUNDVALUE(51)</f>
        <v>1656</v>
      </c>
      <c r="G19" s="129">
        <v>1256103</v>
      </c>
      <c r="H19" s="104">
        <f>_xlfn.COMPOUNDVALUE(52)</f>
        <v>350</v>
      </c>
      <c r="I19" s="134">
        <v>228447</v>
      </c>
      <c r="J19" s="104">
        <v>133</v>
      </c>
      <c r="K19" s="106">
        <v>11502</v>
      </c>
      <c r="L19" s="104">
        <v>2040</v>
      </c>
      <c r="M19" s="106">
        <v>1039159</v>
      </c>
      <c r="N19" s="12" t="s">
        <v>20</v>
      </c>
    </row>
    <row r="20" spans="1:14" ht="18.75" customHeight="1">
      <c r="A20" s="11" t="s">
        <v>21</v>
      </c>
      <c r="B20" s="132">
        <f>_xlfn.COMPOUNDVALUE(53)</f>
        <v>325</v>
      </c>
      <c r="C20" s="129">
        <v>176032</v>
      </c>
      <c r="D20" s="104">
        <f>_xlfn.COMPOUNDVALUE(54)</f>
        <v>1746</v>
      </c>
      <c r="E20" s="129">
        <v>520114</v>
      </c>
      <c r="F20" s="132">
        <f>_xlfn.COMPOUNDVALUE(55)</f>
        <v>2071</v>
      </c>
      <c r="G20" s="129">
        <v>696146</v>
      </c>
      <c r="H20" s="132">
        <f>_xlfn.COMPOUNDVALUE(56)</f>
        <v>343</v>
      </c>
      <c r="I20" s="134">
        <v>268924</v>
      </c>
      <c r="J20" s="104">
        <v>117</v>
      </c>
      <c r="K20" s="106">
        <v>20760</v>
      </c>
      <c r="L20" s="104">
        <v>2464</v>
      </c>
      <c r="M20" s="106">
        <v>447982</v>
      </c>
      <c r="N20" s="12" t="s">
        <v>21</v>
      </c>
    </row>
    <row r="21" spans="1:14" ht="18.75" customHeight="1">
      <c r="A21" s="11" t="s">
        <v>22</v>
      </c>
      <c r="B21" s="104">
        <f>_xlfn.COMPOUNDVALUE(57)</f>
        <v>454</v>
      </c>
      <c r="C21" s="129">
        <v>309420</v>
      </c>
      <c r="D21" s="104">
        <f>_xlfn.COMPOUNDVALUE(58)</f>
        <v>958</v>
      </c>
      <c r="E21" s="129">
        <v>414955</v>
      </c>
      <c r="F21" s="104">
        <f>_xlfn.COMPOUNDVALUE(59)</f>
        <v>1412</v>
      </c>
      <c r="G21" s="129">
        <v>724375</v>
      </c>
      <c r="H21" s="104">
        <f>_xlfn.COMPOUNDVALUE(60)</f>
        <v>974</v>
      </c>
      <c r="I21" s="134">
        <v>677478</v>
      </c>
      <c r="J21" s="104">
        <v>75</v>
      </c>
      <c r="K21" s="106">
        <v>5412</v>
      </c>
      <c r="L21" s="104">
        <v>2409</v>
      </c>
      <c r="M21" s="106">
        <v>52309</v>
      </c>
      <c r="N21" s="12" t="s">
        <v>22</v>
      </c>
    </row>
    <row r="22" spans="1:14" ht="18.75" customHeight="1">
      <c r="A22" s="11" t="s">
        <v>23</v>
      </c>
      <c r="B22" s="104">
        <f>_xlfn.COMPOUNDVALUE(61)</f>
        <v>112</v>
      </c>
      <c r="C22" s="129">
        <v>86674</v>
      </c>
      <c r="D22" s="104">
        <f>_xlfn.COMPOUNDVALUE(62)</f>
        <v>430</v>
      </c>
      <c r="E22" s="129">
        <v>122554</v>
      </c>
      <c r="F22" s="104">
        <f>_xlfn.COMPOUNDVALUE(63)</f>
        <v>542</v>
      </c>
      <c r="G22" s="129">
        <v>209228</v>
      </c>
      <c r="H22" s="104">
        <f>_xlfn.COMPOUNDVALUE(64)</f>
        <v>41</v>
      </c>
      <c r="I22" s="134">
        <v>23155</v>
      </c>
      <c r="J22" s="104">
        <v>32</v>
      </c>
      <c r="K22" s="106">
        <v>8878</v>
      </c>
      <c r="L22" s="104">
        <v>595</v>
      </c>
      <c r="M22" s="106">
        <v>194950</v>
      </c>
      <c r="N22" s="12" t="s">
        <v>23</v>
      </c>
    </row>
    <row r="23" spans="1:14" ht="18.75" customHeight="1">
      <c r="A23" s="11" t="s">
        <v>24</v>
      </c>
      <c r="B23" s="104">
        <f>_xlfn.COMPOUNDVALUE(65)</f>
        <v>629</v>
      </c>
      <c r="C23" s="129">
        <v>471275</v>
      </c>
      <c r="D23" s="104">
        <f>_xlfn.COMPOUNDVALUE(66)</f>
        <v>1210</v>
      </c>
      <c r="E23" s="129">
        <v>502913</v>
      </c>
      <c r="F23" s="104">
        <f>_xlfn.COMPOUNDVALUE(67)</f>
        <v>1839</v>
      </c>
      <c r="G23" s="129">
        <v>974188</v>
      </c>
      <c r="H23" s="104">
        <f>_xlfn.COMPOUNDVALUE(68)</f>
        <v>162</v>
      </c>
      <c r="I23" s="134">
        <v>88711</v>
      </c>
      <c r="J23" s="104">
        <v>123</v>
      </c>
      <c r="K23" s="106">
        <v>37588</v>
      </c>
      <c r="L23" s="104">
        <v>2075</v>
      </c>
      <c r="M23" s="106">
        <v>923066</v>
      </c>
      <c r="N23" s="12" t="s">
        <v>24</v>
      </c>
    </row>
    <row r="24" spans="1:14" ht="18.75" customHeight="1">
      <c r="A24" s="13" t="s">
        <v>25</v>
      </c>
      <c r="B24" s="107">
        <f>_xlfn.COMPOUNDVALUE(69)</f>
        <v>600</v>
      </c>
      <c r="C24" s="130">
        <v>827636</v>
      </c>
      <c r="D24" s="107">
        <f>_xlfn.COMPOUNDVALUE(70)</f>
        <v>1198</v>
      </c>
      <c r="E24" s="130">
        <v>518740</v>
      </c>
      <c r="F24" s="107">
        <f>_xlfn.COMPOUNDVALUE(71)</f>
        <v>1798</v>
      </c>
      <c r="G24" s="130">
        <v>1346376</v>
      </c>
      <c r="H24" s="107">
        <f>_xlfn.COMPOUNDVALUE(72)</f>
        <v>284</v>
      </c>
      <c r="I24" s="135">
        <v>242426</v>
      </c>
      <c r="J24" s="107">
        <v>72</v>
      </c>
      <c r="K24" s="109">
        <v>-1308</v>
      </c>
      <c r="L24" s="107">
        <v>2102</v>
      </c>
      <c r="M24" s="109">
        <v>1102642</v>
      </c>
      <c r="N24" s="14" t="s">
        <v>25</v>
      </c>
    </row>
    <row r="25" spans="1:14" ht="18.75" customHeight="1">
      <c r="A25" s="13" t="s">
        <v>26</v>
      </c>
      <c r="B25" s="133">
        <f>_xlfn.COMPOUNDVALUE(73)</f>
        <v>437</v>
      </c>
      <c r="C25" s="130">
        <v>613143</v>
      </c>
      <c r="D25" s="107">
        <f>_xlfn.COMPOUNDVALUE(74)</f>
        <v>723</v>
      </c>
      <c r="E25" s="130">
        <v>391542</v>
      </c>
      <c r="F25" s="133">
        <f>_xlfn.COMPOUNDVALUE(75)</f>
        <v>1160</v>
      </c>
      <c r="G25" s="130">
        <v>1004685</v>
      </c>
      <c r="H25" s="133">
        <f>_xlfn.COMPOUNDVALUE(76)</f>
        <v>186</v>
      </c>
      <c r="I25" s="135">
        <v>227641</v>
      </c>
      <c r="J25" s="107">
        <v>118</v>
      </c>
      <c r="K25" s="109">
        <v>65425</v>
      </c>
      <c r="L25" s="107">
        <v>1356</v>
      </c>
      <c r="M25" s="109">
        <v>842469</v>
      </c>
      <c r="N25" s="14" t="s">
        <v>26</v>
      </c>
    </row>
    <row r="26" spans="1:14" ht="18.75" customHeight="1">
      <c r="A26" s="13" t="s">
        <v>27</v>
      </c>
      <c r="B26" s="107">
        <f>_xlfn.COMPOUNDVALUE(77)</f>
        <v>242</v>
      </c>
      <c r="C26" s="130">
        <v>136582</v>
      </c>
      <c r="D26" s="107">
        <f>_xlfn.COMPOUNDVALUE(78)</f>
        <v>626</v>
      </c>
      <c r="E26" s="130">
        <v>185374</v>
      </c>
      <c r="F26" s="107">
        <f>_xlfn.COMPOUNDVALUE(79)</f>
        <v>868</v>
      </c>
      <c r="G26" s="130">
        <v>321956</v>
      </c>
      <c r="H26" s="107">
        <f>_xlfn.COMPOUNDVALUE(80)</f>
        <v>310</v>
      </c>
      <c r="I26" s="135">
        <v>243476</v>
      </c>
      <c r="J26" s="107">
        <v>52</v>
      </c>
      <c r="K26" s="109">
        <v>-3250</v>
      </c>
      <c r="L26" s="107">
        <v>1206</v>
      </c>
      <c r="M26" s="109">
        <v>75230</v>
      </c>
      <c r="N26" s="14" t="s">
        <v>27</v>
      </c>
    </row>
    <row r="27" spans="1:14" ht="18.75" customHeight="1">
      <c r="A27" s="13" t="s">
        <v>28</v>
      </c>
      <c r="B27" s="107">
        <f>_xlfn.COMPOUNDVALUE(81)</f>
        <v>652</v>
      </c>
      <c r="C27" s="130">
        <v>504826</v>
      </c>
      <c r="D27" s="107">
        <f>_xlfn.COMPOUNDVALUE(82)</f>
        <v>1348</v>
      </c>
      <c r="E27" s="130">
        <v>451119</v>
      </c>
      <c r="F27" s="107">
        <f>_xlfn.COMPOUNDVALUE(83)</f>
        <v>2000</v>
      </c>
      <c r="G27" s="130">
        <v>955945</v>
      </c>
      <c r="H27" s="107">
        <f>_xlfn.COMPOUNDVALUE(84)</f>
        <v>465</v>
      </c>
      <c r="I27" s="135">
        <v>526573</v>
      </c>
      <c r="J27" s="107">
        <v>90</v>
      </c>
      <c r="K27" s="109">
        <v>23484</v>
      </c>
      <c r="L27" s="107">
        <v>2499</v>
      </c>
      <c r="M27" s="109">
        <v>452856</v>
      </c>
      <c r="N27" s="14" t="s">
        <v>28</v>
      </c>
    </row>
    <row r="28" spans="1:14" ht="18.75" customHeight="1">
      <c r="A28" s="13" t="s">
        <v>29</v>
      </c>
      <c r="B28" s="107">
        <f>_xlfn.COMPOUNDVALUE(85)</f>
        <v>140</v>
      </c>
      <c r="C28" s="130">
        <v>89215</v>
      </c>
      <c r="D28" s="107">
        <f>_xlfn.COMPOUNDVALUE(86)</f>
        <v>732</v>
      </c>
      <c r="E28" s="130">
        <v>229018</v>
      </c>
      <c r="F28" s="107">
        <f>_xlfn.COMPOUNDVALUE(87)</f>
        <v>872</v>
      </c>
      <c r="G28" s="130">
        <v>318232</v>
      </c>
      <c r="H28" s="107">
        <f>_xlfn.COMPOUNDVALUE(88)</f>
        <v>22</v>
      </c>
      <c r="I28" s="135">
        <v>14095</v>
      </c>
      <c r="J28" s="107">
        <v>28</v>
      </c>
      <c r="K28" s="109">
        <v>7895</v>
      </c>
      <c r="L28" s="107">
        <v>913</v>
      </c>
      <c r="M28" s="109">
        <v>312032</v>
      </c>
      <c r="N28" s="14" t="s">
        <v>29</v>
      </c>
    </row>
    <row r="29" spans="1:14" ht="18.75" customHeight="1">
      <c r="A29" s="13" t="s">
        <v>30</v>
      </c>
      <c r="B29" s="107">
        <f>_xlfn.COMPOUNDVALUE(89)</f>
        <v>88</v>
      </c>
      <c r="C29" s="130">
        <v>39618</v>
      </c>
      <c r="D29" s="107">
        <f>_xlfn.COMPOUNDVALUE(90)</f>
        <v>923</v>
      </c>
      <c r="E29" s="130">
        <v>258716</v>
      </c>
      <c r="F29" s="107">
        <f>_xlfn.COMPOUNDVALUE(91)</f>
        <v>1011</v>
      </c>
      <c r="G29" s="130">
        <v>298334</v>
      </c>
      <c r="H29" s="107">
        <f>_xlfn.COMPOUNDVALUE(92)</f>
        <v>29</v>
      </c>
      <c r="I29" s="135">
        <v>39732</v>
      </c>
      <c r="J29" s="107">
        <v>18</v>
      </c>
      <c r="K29" s="109">
        <v>403</v>
      </c>
      <c r="L29" s="107">
        <v>1050</v>
      </c>
      <c r="M29" s="109">
        <v>259004</v>
      </c>
      <c r="N29" s="14" t="s">
        <v>30</v>
      </c>
    </row>
    <row r="30" spans="1:14" ht="18.75" customHeight="1">
      <c r="A30" s="13" t="s">
        <v>31</v>
      </c>
      <c r="B30" s="107">
        <f>_xlfn.COMPOUNDVALUE(93)</f>
        <v>123</v>
      </c>
      <c r="C30" s="130">
        <v>46978</v>
      </c>
      <c r="D30" s="107">
        <f>_xlfn.COMPOUNDVALUE(94)</f>
        <v>609</v>
      </c>
      <c r="E30" s="130">
        <v>202074</v>
      </c>
      <c r="F30" s="107">
        <f>_xlfn.COMPOUNDVALUE(95)</f>
        <v>732</v>
      </c>
      <c r="G30" s="130">
        <v>249052</v>
      </c>
      <c r="H30" s="107">
        <f>_xlfn.COMPOUNDVALUE(96)</f>
        <v>215</v>
      </c>
      <c r="I30" s="135">
        <v>153127</v>
      </c>
      <c r="J30" s="107">
        <v>27</v>
      </c>
      <c r="K30" s="109">
        <v>3558</v>
      </c>
      <c r="L30" s="107">
        <v>965</v>
      </c>
      <c r="M30" s="109">
        <v>99483</v>
      </c>
      <c r="N30" s="14" t="s">
        <v>31</v>
      </c>
    </row>
    <row r="31" spans="1:14" ht="18.75" customHeight="1">
      <c r="A31" s="13" t="s">
        <v>32</v>
      </c>
      <c r="B31" s="107">
        <f>_xlfn.COMPOUNDVALUE(97)</f>
        <v>166</v>
      </c>
      <c r="C31" s="130">
        <v>100945</v>
      </c>
      <c r="D31" s="107">
        <f>_xlfn.COMPOUNDVALUE(98)</f>
        <v>872</v>
      </c>
      <c r="E31" s="130">
        <v>314958</v>
      </c>
      <c r="F31" s="107">
        <f>_xlfn.COMPOUNDVALUE(99)</f>
        <v>1038</v>
      </c>
      <c r="G31" s="130">
        <v>415903</v>
      </c>
      <c r="H31" s="107">
        <f>_xlfn.COMPOUNDVALUE(100)</f>
        <v>52</v>
      </c>
      <c r="I31" s="135">
        <v>63802</v>
      </c>
      <c r="J31" s="107">
        <v>43</v>
      </c>
      <c r="K31" s="109">
        <v>3590</v>
      </c>
      <c r="L31" s="107">
        <v>1110</v>
      </c>
      <c r="M31" s="109">
        <v>355691</v>
      </c>
      <c r="N31" s="14" t="s">
        <v>32</v>
      </c>
    </row>
    <row r="32" spans="1:14" ht="18.75" customHeight="1">
      <c r="A32" s="13" t="s">
        <v>33</v>
      </c>
      <c r="B32" s="107">
        <f>_xlfn.COMPOUNDVALUE(101)</f>
        <v>47</v>
      </c>
      <c r="C32" s="130">
        <v>22576</v>
      </c>
      <c r="D32" s="107">
        <f>_xlfn.COMPOUNDVALUE(102)</f>
        <v>213</v>
      </c>
      <c r="E32" s="130">
        <v>60021</v>
      </c>
      <c r="F32" s="107">
        <f>_xlfn.COMPOUNDVALUE(103)</f>
        <v>260</v>
      </c>
      <c r="G32" s="130">
        <v>82597</v>
      </c>
      <c r="H32" s="107">
        <f>_xlfn.COMPOUNDVALUE(104)</f>
        <v>27</v>
      </c>
      <c r="I32" s="135">
        <v>16214</v>
      </c>
      <c r="J32" s="107">
        <v>19</v>
      </c>
      <c r="K32" s="109">
        <v>1885</v>
      </c>
      <c r="L32" s="107">
        <v>292</v>
      </c>
      <c r="M32" s="109">
        <v>68268</v>
      </c>
      <c r="N32" s="14" t="s">
        <v>33</v>
      </c>
    </row>
    <row r="33" spans="1:14" ht="18.75" customHeight="1">
      <c r="A33" s="13" t="s">
        <v>34</v>
      </c>
      <c r="B33" s="107">
        <f>_xlfn.COMPOUNDVALUE(105)</f>
        <v>351</v>
      </c>
      <c r="C33" s="130">
        <v>155962</v>
      </c>
      <c r="D33" s="107">
        <f>_xlfn.COMPOUNDVALUE(106)</f>
        <v>765</v>
      </c>
      <c r="E33" s="130">
        <v>275021</v>
      </c>
      <c r="F33" s="107">
        <f>_xlfn.COMPOUNDVALUE(107)</f>
        <v>1116</v>
      </c>
      <c r="G33" s="130">
        <v>430983</v>
      </c>
      <c r="H33" s="107">
        <f>_xlfn.COMPOUNDVALUE(108)</f>
        <v>426</v>
      </c>
      <c r="I33" s="135">
        <v>250914</v>
      </c>
      <c r="J33" s="107">
        <v>45</v>
      </c>
      <c r="K33" s="109">
        <v>-7856</v>
      </c>
      <c r="L33" s="107">
        <v>1557</v>
      </c>
      <c r="M33" s="109">
        <v>172213</v>
      </c>
      <c r="N33" s="14" t="s">
        <v>34</v>
      </c>
    </row>
    <row r="34" spans="1:14" ht="18.75" customHeight="1">
      <c r="A34" s="13" t="s">
        <v>35</v>
      </c>
      <c r="B34" s="107">
        <f>_xlfn.COMPOUNDVALUE(109)</f>
        <v>88</v>
      </c>
      <c r="C34" s="130">
        <v>55810</v>
      </c>
      <c r="D34" s="107">
        <f>_xlfn.COMPOUNDVALUE(110)</f>
        <v>411</v>
      </c>
      <c r="E34" s="130">
        <v>123920</v>
      </c>
      <c r="F34" s="107">
        <f>_xlfn.COMPOUNDVALUE(111)</f>
        <v>499</v>
      </c>
      <c r="G34" s="130">
        <v>179730</v>
      </c>
      <c r="H34" s="107">
        <f>_xlfn.COMPOUNDVALUE(112)</f>
        <v>111</v>
      </c>
      <c r="I34" s="135">
        <v>58568</v>
      </c>
      <c r="J34" s="107">
        <v>55</v>
      </c>
      <c r="K34" s="109">
        <v>5175</v>
      </c>
      <c r="L34" s="107">
        <v>623</v>
      </c>
      <c r="M34" s="109">
        <v>126337</v>
      </c>
      <c r="N34" s="14" t="s">
        <v>35</v>
      </c>
    </row>
    <row r="35" spans="1:14" ht="18.75" customHeight="1">
      <c r="A35" s="13" t="s">
        <v>36</v>
      </c>
      <c r="B35" s="107">
        <f>_xlfn.COMPOUNDVALUE(113)</f>
        <v>281</v>
      </c>
      <c r="C35" s="130">
        <v>236707</v>
      </c>
      <c r="D35" s="107">
        <f>_xlfn.COMPOUNDVALUE(114)</f>
        <v>558</v>
      </c>
      <c r="E35" s="130">
        <v>222000</v>
      </c>
      <c r="F35" s="107">
        <f>_xlfn.COMPOUNDVALUE(115)</f>
        <v>839</v>
      </c>
      <c r="G35" s="130">
        <v>458706</v>
      </c>
      <c r="H35" s="107">
        <f>_xlfn.COMPOUNDVALUE(116)</f>
        <v>80</v>
      </c>
      <c r="I35" s="135">
        <v>65401</v>
      </c>
      <c r="J35" s="107">
        <v>50</v>
      </c>
      <c r="K35" s="109">
        <v>12923</v>
      </c>
      <c r="L35" s="107">
        <v>950</v>
      </c>
      <c r="M35" s="109">
        <v>406228</v>
      </c>
      <c r="N35" s="14" t="s">
        <v>36</v>
      </c>
    </row>
    <row r="36" spans="1:14" s="15" customFormat="1" ht="18.75" customHeight="1" thickBot="1">
      <c r="A36" s="76" t="s">
        <v>37</v>
      </c>
      <c r="B36" s="110">
        <f>_xlfn.COMPOUNDVALUE(117)</f>
        <v>430</v>
      </c>
      <c r="C36" s="131">
        <v>289440</v>
      </c>
      <c r="D36" s="110">
        <f>_xlfn.COMPOUNDVALUE(118)</f>
        <v>214</v>
      </c>
      <c r="E36" s="131">
        <v>82171</v>
      </c>
      <c r="F36" s="110">
        <f>_xlfn.COMPOUNDVALUE(119)</f>
        <v>644</v>
      </c>
      <c r="G36" s="131">
        <v>371611</v>
      </c>
      <c r="H36" s="110">
        <f>_xlfn.COMPOUNDVALUE(120)</f>
        <v>409</v>
      </c>
      <c r="I36" s="136">
        <v>291933</v>
      </c>
      <c r="J36" s="110">
        <v>25</v>
      </c>
      <c r="K36" s="112">
        <v>821</v>
      </c>
      <c r="L36" s="110">
        <v>1064</v>
      </c>
      <c r="M36" s="112">
        <v>80499</v>
      </c>
      <c r="N36" s="74" t="s">
        <v>37</v>
      </c>
    </row>
    <row r="37" spans="1:14" ht="18.75" customHeight="1" thickBot="1" thickTop="1">
      <c r="A37" s="16" t="s">
        <v>43</v>
      </c>
      <c r="B37" s="113">
        <v>15867</v>
      </c>
      <c r="C37" s="114">
        <v>11079473</v>
      </c>
      <c r="D37" s="113">
        <v>28968</v>
      </c>
      <c r="E37" s="114">
        <v>11808183</v>
      </c>
      <c r="F37" s="113">
        <v>44835</v>
      </c>
      <c r="G37" s="114">
        <v>22887656</v>
      </c>
      <c r="H37" s="113">
        <v>8092</v>
      </c>
      <c r="I37" s="115">
        <v>6141970</v>
      </c>
      <c r="J37" s="113">
        <v>2896</v>
      </c>
      <c r="K37" s="115">
        <v>619104</v>
      </c>
      <c r="L37" s="113">
        <v>54355</v>
      </c>
      <c r="M37" s="115">
        <v>17364790</v>
      </c>
      <c r="N37" s="17" t="str">
        <f>IF(A37="","",A37)</f>
        <v>合　　計</v>
      </c>
    </row>
    <row r="38" spans="1:14" ht="3" customHeight="1">
      <c r="A38" s="31"/>
      <c r="B38" s="32"/>
      <c r="C38" s="32"/>
      <c r="D38" s="32"/>
      <c r="E38" s="32"/>
      <c r="F38" s="32"/>
      <c r="G38" s="32"/>
      <c r="H38" s="32"/>
      <c r="I38" s="32"/>
      <c r="J38" s="32"/>
      <c r="K38" s="32"/>
      <c r="L38" s="32"/>
      <c r="M38" s="32"/>
      <c r="N38" s="31"/>
    </row>
    <row r="39" spans="1:14" ht="12.75">
      <c r="A39" s="166" t="s">
        <v>93</v>
      </c>
      <c r="B39" s="166"/>
      <c r="C39" s="166"/>
      <c r="D39" s="166"/>
      <c r="E39" s="166"/>
      <c r="F39" s="166"/>
      <c r="G39" s="166"/>
      <c r="H39" s="166"/>
      <c r="I39" s="166"/>
      <c r="J39" s="18"/>
      <c r="K39" s="18"/>
      <c r="L39" s="2"/>
      <c r="M39" s="2"/>
      <c r="N39" s="2"/>
    </row>
    <row r="41" spans="2:10" ht="12.75">
      <c r="B41" s="19"/>
      <c r="C41" s="19"/>
      <c r="D41" s="19"/>
      <c r="E41" s="19"/>
      <c r="F41" s="19"/>
      <c r="G41" s="19"/>
      <c r="H41" s="19"/>
      <c r="J41" s="19"/>
    </row>
    <row r="42" spans="2:10" ht="12.75">
      <c r="B42" s="19"/>
      <c r="C42" s="19"/>
      <c r="D42" s="19"/>
      <c r="E42" s="19"/>
      <c r="F42" s="19"/>
      <c r="G42" s="19"/>
      <c r="H42" s="19"/>
      <c r="J42" s="19"/>
    </row>
    <row r="43" spans="2:10" ht="12.75">
      <c r="B43" s="19"/>
      <c r="C43" s="19"/>
      <c r="D43" s="19"/>
      <c r="E43" s="19"/>
      <c r="F43" s="19"/>
      <c r="G43" s="19"/>
      <c r="H43" s="19"/>
      <c r="J43" s="19"/>
    </row>
    <row r="44" spans="2:10" ht="12.75">
      <c r="B44" s="19"/>
      <c r="C44" s="19"/>
      <c r="D44" s="19"/>
      <c r="E44" s="19"/>
      <c r="F44" s="19"/>
      <c r="G44" s="19"/>
      <c r="H44" s="19"/>
      <c r="J44" s="19"/>
    </row>
    <row r="45" spans="2:10" ht="12.75">
      <c r="B45" s="19"/>
      <c r="C45" s="19"/>
      <c r="D45" s="19"/>
      <c r="E45" s="19"/>
      <c r="F45" s="19"/>
      <c r="G45" s="19"/>
      <c r="H45" s="19"/>
      <c r="J45" s="19"/>
    </row>
    <row r="46" spans="2:10" ht="12.75">
      <c r="B46" s="19"/>
      <c r="C46" s="19"/>
      <c r="D46" s="19"/>
      <c r="E46" s="19"/>
      <c r="F46" s="19"/>
      <c r="G46" s="19"/>
      <c r="H46" s="19"/>
      <c r="J46" s="19"/>
    </row>
    <row r="47" spans="2:10" ht="12.75">
      <c r="B47" s="19"/>
      <c r="C47" s="19"/>
      <c r="D47" s="19"/>
      <c r="E47" s="19"/>
      <c r="F47" s="19"/>
      <c r="G47" s="19"/>
      <c r="H47" s="19"/>
      <c r="J47" s="19"/>
    </row>
    <row r="48" spans="2:10" ht="12.75">
      <c r="B48" s="19"/>
      <c r="C48" s="19"/>
      <c r="D48" s="19"/>
      <c r="E48" s="19"/>
      <c r="F48" s="19"/>
      <c r="G48" s="19"/>
      <c r="H48" s="19"/>
      <c r="J48" s="19"/>
    </row>
    <row r="49" spans="2:10" ht="12.75">
      <c r="B49" s="19"/>
      <c r="C49" s="19"/>
      <c r="D49" s="19"/>
      <c r="E49" s="19"/>
      <c r="F49" s="19"/>
      <c r="G49" s="19"/>
      <c r="H49" s="19"/>
      <c r="J49" s="19"/>
    </row>
    <row r="50" spans="2:10" ht="12.75">
      <c r="B50" s="19"/>
      <c r="C50" s="19"/>
      <c r="D50" s="19"/>
      <c r="E50" s="19"/>
      <c r="F50" s="19"/>
      <c r="G50" s="19"/>
      <c r="H50" s="19"/>
      <c r="J50" s="19"/>
    </row>
    <row r="51" spans="2:10" ht="12.75">
      <c r="B51" s="19"/>
      <c r="C51" s="19"/>
      <c r="D51" s="19"/>
      <c r="E51" s="19"/>
      <c r="F51" s="19"/>
      <c r="G51" s="19"/>
      <c r="H51" s="19"/>
      <c r="J51" s="19"/>
    </row>
    <row r="52" spans="2:10" ht="12.75">
      <c r="B52" s="19"/>
      <c r="C52" s="19"/>
      <c r="D52" s="19"/>
      <c r="E52" s="19"/>
      <c r="F52" s="19"/>
      <c r="G52" s="19"/>
      <c r="H52" s="19"/>
      <c r="J52" s="19"/>
    </row>
    <row r="53" spans="2:10" ht="12.75">
      <c r="B53" s="19"/>
      <c r="C53" s="19"/>
      <c r="D53" s="19"/>
      <c r="E53" s="19"/>
      <c r="F53" s="19"/>
      <c r="G53" s="19"/>
      <c r="H53" s="19"/>
      <c r="J53" s="19"/>
    </row>
  </sheetData>
  <sheetProtection/>
  <mergeCells count="11">
    <mergeCell ref="A39:I39"/>
    <mergeCell ref="A2:G2"/>
    <mergeCell ref="A3:A5"/>
    <mergeCell ref="B3:G3"/>
    <mergeCell ref="H3:I4"/>
    <mergeCell ref="N3:N5"/>
    <mergeCell ref="B4:C4"/>
    <mergeCell ref="D4:E4"/>
    <mergeCell ref="F4:G4"/>
    <mergeCell ref="J3:K4"/>
    <mergeCell ref="L3:M4"/>
  </mergeCells>
  <printOptions horizontalCentered="1"/>
  <pageMargins left="0.7874015748031497" right="0.5511811023622047" top="0.5118110236220472" bottom="0.5905511811023623" header="0.5118110236220472" footer="0.31496062992125984"/>
  <pageSetup fitToHeight="0" horizontalDpi="600" verticalDpi="600" orientation="landscape" paperSize="9" scale="75" r:id="rId1"/>
  <headerFooter alignWithMargins="0">
    <oddFooter>&amp;R札幌国税局　
消費税
（R03）</oddFooter>
  </headerFooter>
</worksheet>
</file>

<file path=xl/worksheets/sheet5.xml><?xml version="1.0" encoding="utf-8"?>
<worksheet xmlns="http://schemas.openxmlformats.org/spreadsheetml/2006/main" xmlns:r="http://schemas.openxmlformats.org/officeDocument/2006/relationships">
  <dimension ref="A1:N39"/>
  <sheetViews>
    <sheetView zoomScaleSheetLayoutView="85" workbookViewId="0" topLeftCell="A1">
      <selection activeCell="A1" sqref="A1"/>
    </sheetView>
  </sheetViews>
  <sheetFormatPr defaultColWidth="9.00390625" defaultRowHeight="15"/>
  <cols>
    <col min="1" max="1" width="12.28125" style="3" customWidth="1"/>
    <col min="2" max="2" width="8.57421875" style="3" customWidth="1"/>
    <col min="3" max="3" width="11.57421875" style="3" customWidth="1"/>
    <col min="4" max="4" width="8.57421875" style="3" customWidth="1"/>
    <col min="5" max="5" width="11.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10.57421875" style="3" customWidth="1"/>
    <col min="13" max="13" width="12.57421875" style="3" customWidth="1"/>
    <col min="14" max="14" width="12.28125" style="3" customWidth="1"/>
    <col min="15" max="16384" width="9.00390625" style="3" customWidth="1"/>
  </cols>
  <sheetData>
    <row r="1" spans="1:13" ht="12.75">
      <c r="A1" s="1" t="s">
        <v>97</v>
      </c>
      <c r="B1" s="1"/>
      <c r="C1" s="1"/>
      <c r="D1" s="1"/>
      <c r="E1" s="1"/>
      <c r="F1" s="1"/>
      <c r="G1" s="1"/>
      <c r="H1" s="1"/>
      <c r="I1" s="1"/>
      <c r="J1" s="1"/>
      <c r="K1" s="1"/>
      <c r="L1" s="2"/>
      <c r="M1" s="2"/>
    </row>
    <row r="2" spans="1:13" ht="13.5" thickBot="1">
      <c r="A2" s="184" t="s">
        <v>38</v>
      </c>
      <c r="B2" s="184"/>
      <c r="C2" s="184"/>
      <c r="D2" s="184"/>
      <c r="E2" s="184"/>
      <c r="F2" s="184"/>
      <c r="G2" s="184"/>
      <c r="H2" s="184"/>
      <c r="I2" s="184"/>
      <c r="J2" s="18"/>
      <c r="K2" s="18"/>
      <c r="L2" s="2"/>
      <c r="M2" s="2"/>
    </row>
    <row r="3" spans="1:14" ht="19.5" customHeight="1">
      <c r="A3" s="180" t="s">
        <v>71</v>
      </c>
      <c r="B3" s="183" t="s">
        <v>76</v>
      </c>
      <c r="C3" s="183"/>
      <c r="D3" s="183"/>
      <c r="E3" s="183"/>
      <c r="F3" s="183"/>
      <c r="G3" s="183"/>
      <c r="H3" s="179" t="s">
        <v>1</v>
      </c>
      <c r="I3" s="177"/>
      <c r="J3" s="176" t="s">
        <v>2</v>
      </c>
      <c r="K3" s="177"/>
      <c r="L3" s="179" t="s">
        <v>3</v>
      </c>
      <c r="M3" s="177"/>
      <c r="N3" s="168" t="s">
        <v>39</v>
      </c>
    </row>
    <row r="4" spans="1:14" ht="17.25" customHeight="1">
      <c r="A4" s="181"/>
      <c r="B4" s="174" t="s">
        <v>72</v>
      </c>
      <c r="C4" s="175"/>
      <c r="D4" s="174" t="s">
        <v>5</v>
      </c>
      <c r="E4" s="175"/>
      <c r="F4" s="174" t="s">
        <v>6</v>
      </c>
      <c r="G4" s="175"/>
      <c r="H4" s="174"/>
      <c r="I4" s="178"/>
      <c r="J4" s="174"/>
      <c r="K4" s="178"/>
      <c r="L4" s="174"/>
      <c r="M4" s="178"/>
      <c r="N4" s="169"/>
    </row>
    <row r="5" spans="1:14" ht="28.5" customHeight="1">
      <c r="A5" s="182"/>
      <c r="B5" s="75" t="s">
        <v>73</v>
      </c>
      <c r="C5" s="26" t="s">
        <v>74</v>
      </c>
      <c r="D5" s="75" t="s">
        <v>73</v>
      </c>
      <c r="E5" s="26" t="s">
        <v>74</v>
      </c>
      <c r="F5" s="75" t="s">
        <v>73</v>
      </c>
      <c r="G5" s="26" t="s">
        <v>75</v>
      </c>
      <c r="H5" s="75" t="s">
        <v>73</v>
      </c>
      <c r="I5" s="27" t="s">
        <v>77</v>
      </c>
      <c r="J5" s="75" t="s">
        <v>73</v>
      </c>
      <c r="K5" s="27" t="s">
        <v>78</v>
      </c>
      <c r="L5" s="25" t="s">
        <v>73</v>
      </c>
      <c r="M5" s="28" t="s">
        <v>79</v>
      </c>
      <c r="N5" s="170"/>
    </row>
    <row r="6" spans="1:14" s="20" customFormat="1" ht="9">
      <c r="A6" s="5"/>
      <c r="B6" s="6" t="s">
        <v>7</v>
      </c>
      <c r="C6" s="7" t="s">
        <v>8</v>
      </c>
      <c r="D6" s="6" t="s">
        <v>7</v>
      </c>
      <c r="E6" s="7" t="s">
        <v>8</v>
      </c>
      <c r="F6" s="6" t="s">
        <v>7</v>
      </c>
      <c r="G6" s="7" t="s">
        <v>8</v>
      </c>
      <c r="H6" s="6" t="s">
        <v>7</v>
      </c>
      <c r="I6" s="8" t="s">
        <v>8</v>
      </c>
      <c r="J6" s="6" t="s">
        <v>7</v>
      </c>
      <c r="K6" s="8" t="s">
        <v>8</v>
      </c>
      <c r="L6" s="6" t="s">
        <v>95</v>
      </c>
      <c r="M6" s="8" t="s">
        <v>8</v>
      </c>
      <c r="N6" s="9"/>
    </row>
    <row r="7" spans="1:14" ht="18.75" customHeight="1">
      <c r="A7" s="11" t="s">
        <v>81</v>
      </c>
      <c r="B7" s="104">
        <f>_xlfn.COMPOUNDVALUE(121)</f>
        <v>3316</v>
      </c>
      <c r="C7" s="105">
        <v>64347384</v>
      </c>
      <c r="D7" s="104">
        <f>_xlfn.COMPOUNDVALUE(122)</f>
        <v>778</v>
      </c>
      <c r="E7" s="105">
        <v>620408</v>
      </c>
      <c r="F7" s="104">
        <f>_xlfn.COMPOUNDVALUE(123)</f>
        <v>4094</v>
      </c>
      <c r="G7" s="105">
        <v>64967792</v>
      </c>
      <c r="H7" s="104">
        <f>_xlfn.COMPOUNDVALUE(124)</f>
        <v>673</v>
      </c>
      <c r="I7" s="106">
        <v>4748617</v>
      </c>
      <c r="J7" s="104">
        <v>190</v>
      </c>
      <c r="K7" s="106">
        <v>187957</v>
      </c>
      <c r="L7" s="104">
        <v>4810</v>
      </c>
      <c r="M7" s="106">
        <v>60407131</v>
      </c>
      <c r="N7" s="12" t="s">
        <v>81</v>
      </c>
    </row>
    <row r="8" spans="1:14" ht="18.75" customHeight="1">
      <c r="A8" s="11" t="s">
        <v>10</v>
      </c>
      <c r="B8" s="104">
        <f>_xlfn.COMPOUNDVALUE(125)</f>
        <v>6879</v>
      </c>
      <c r="C8" s="105">
        <v>76340461</v>
      </c>
      <c r="D8" s="104">
        <f>_xlfn.COMPOUNDVALUE(126)</f>
        <v>2523</v>
      </c>
      <c r="E8" s="105">
        <v>1830822</v>
      </c>
      <c r="F8" s="104">
        <f>_xlfn.COMPOUNDVALUE(127)</f>
        <v>9402</v>
      </c>
      <c r="G8" s="105">
        <v>78171283</v>
      </c>
      <c r="H8" s="104">
        <f>_xlfn.COMPOUNDVALUE(128)</f>
        <v>608</v>
      </c>
      <c r="I8" s="106">
        <v>1790207</v>
      </c>
      <c r="J8" s="104">
        <v>337</v>
      </c>
      <c r="K8" s="106">
        <v>161011</v>
      </c>
      <c r="L8" s="104">
        <v>10106</v>
      </c>
      <c r="M8" s="106">
        <v>76542087</v>
      </c>
      <c r="N8" s="12" t="s">
        <v>10</v>
      </c>
    </row>
    <row r="9" spans="1:14" ht="18.75" customHeight="1">
      <c r="A9" s="11" t="s">
        <v>11</v>
      </c>
      <c r="B9" s="104">
        <f>_xlfn.COMPOUNDVALUE(129)</f>
        <v>5198</v>
      </c>
      <c r="C9" s="105">
        <v>33721303</v>
      </c>
      <c r="D9" s="104">
        <f>_xlfn.COMPOUNDVALUE(130)</f>
        <v>2041</v>
      </c>
      <c r="E9" s="105">
        <v>1442853</v>
      </c>
      <c r="F9" s="104">
        <f>_xlfn.COMPOUNDVALUE(131)</f>
        <v>7239</v>
      </c>
      <c r="G9" s="105">
        <v>35164156</v>
      </c>
      <c r="H9" s="104">
        <f>_xlfn.COMPOUNDVALUE(132)</f>
        <v>638</v>
      </c>
      <c r="I9" s="106">
        <v>2616555</v>
      </c>
      <c r="J9" s="104">
        <v>340</v>
      </c>
      <c r="K9" s="106">
        <v>125451</v>
      </c>
      <c r="L9" s="104">
        <v>7951</v>
      </c>
      <c r="M9" s="106">
        <v>32673051</v>
      </c>
      <c r="N9" s="12" t="s">
        <v>11</v>
      </c>
    </row>
    <row r="10" spans="1:14" ht="18.75" customHeight="1">
      <c r="A10" s="11" t="s">
        <v>12</v>
      </c>
      <c r="B10" s="104">
        <f>_xlfn.COMPOUNDVALUE(133)</f>
        <v>5701</v>
      </c>
      <c r="C10" s="105">
        <v>49215794</v>
      </c>
      <c r="D10" s="104">
        <f>_xlfn.COMPOUNDVALUE(134)</f>
        <v>2034</v>
      </c>
      <c r="E10" s="105">
        <v>1531631</v>
      </c>
      <c r="F10" s="104">
        <f>_xlfn.COMPOUNDVALUE(135)</f>
        <v>7735</v>
      </c>
      <c r="G10" s="105">
        <v>50747425</v>
      </c>
      <c r="H10" s="104">
        <f>_xlfn.COMPOUNDVALUE(136)</f>
        <v>758</v>
      </c>
      <c r="I10" s="106">
        <v>5523512</v>
      </c>
      <c r="J10" s="104">
        <v>402</v>
      </c>
      <c r="K10" s="106">
        <v>103475</v>
      </c>
      <c r="L10" s="104">
        <v>8557</v>
      </c>
      <c r="M10" s="106">
        <v>45327387</v>
      </c>
      <c r="N10" s="12" t="s">
        <v>12</v>
      </c>
    </row>
    <row r="11" spans="1:14" ht="18.75" customHeight="1">
      <c r="A11" s="11" t="s">
        <v>13</v>
      </c>
      <c r="B11" s="104">
        <f>_xlfn.COMPOUNDVALUE(137)</f>
        <v>4375</v>
      </c>
      <c r="C11" s="105">
        <v>39696671</v>
      </c>
      <c r="D11" s="104">
        <f>_xlfn.COMPOUNDVALUE(138)</f>
        <v>1559</v>
      </c>
      <c r="E11" s="105">
        <v>1121299</v>
      </c>
      <c r="F11" s="104">
        <f>_xlfn.COMPOUNDVALUE(139)</f>
        <v>5934</v>
      </c>
      <c r="G11" s="105">
        <v>40817970</v>
      </c>
      <c r="H11" s="104">
        <f>_xlfn.COMPOUNDVALUE(140)</f>
        <v>346</v>
      </c>
      <c r="I11" s="106">
        <v>2446209</v>
      </c>
      <c r="J11" s="104">
        <v>263</v>
      </c>
      <c r="K11" s="106">
        <v>207856</v>
      </c>
      <c r="L11" s="104">
        <v>6311</v>
      </c>
      <c r="M11" s="106">
        <v>38579617</v>
      </c>
      <c r="N11" s="12" t="s">
        <v>13</v>
      </c>
    </row>
    <row r="12" spans="1:14" ht="18.75" customHeight="1">
      <c r="A12" s="11" t="s">
        <v>80</v>
      </c>
      <c r="B12" s="104">
        <f>_xlfn.COMPOUNDVALUE(141)</f>
        <v>3397</v>
      </c>
      <c r="C12" s="105">
        <v>20342501</v>
      </c>
      <c r="D12" s="104">
        <f>_xlfn.COMPOUNDVALUE(142)</f>
        <v>1415</v>
      </c>
      <c r="E12" s="105">
        <v>977518</v>
      </c>
      <c r="F12" s="104">
        <f>_xlfn.COMPOUNDVALUE(143)</f>
        <v>4812</v>
      </c>
      <c r="G12" s="105">
        <v>21320019</v>
      </c>
      <c r="H12" s="104">
        <f>_xlfn.COMPOUNDVALUE(144)</f>
        <v>275</v>
      </c>
      <c r="I12" s="106">
        <v>1115112</v>
      </c>
      <c r="J12" s="104">
        <v>178</v>
      </c>
      <c r="K12" s="106">
        <v>56538</v>
      </c>
      <c r="L12" s="104">
        <v>5119</v>
      </c>
      <c r="M12" s="106">
        <v>20261445</v>
      </c>
      <c r="N12" s="12" t="s">
        <v>80</v>
      </c>
    </row>
    <row r="13" spans="1:14" ht="18.75" customHeight="1">
      <c r="A13" s="11" t="s">
        <v>14</v>
      </c>
      <c r="B13" s="104">
        <f>_xlfn.COMPOUNDVALUE(145)</f>
        <v>1131</v>
      </c>
      <c r="C13" s="105">
        <v>8420848</v>
      </c>
      <c r="D13" s="104">
        <f>_xlfn.COMPOUNDVALUE(146)</f>
        <v>477</v>
      </c>
      <c r="E13" s="105">
        <v>318857</v>
      </c>
      <c r="F13" s="104">
        <f>_xlfn.COMPOUNDVALUE(147)</f>
        <v>1608</v>
      </c>
      <c r="G13" s="105">
        <v>8739705</v>
      </c>
      <c r="H13" s="104">
        <f>_xlfn.COMPOUNDVALUE(148)</f>
        <v>228</v>
      </c>
      <c r="I13" s="106">
        <v>635217</v>
      </c>
      <c r="J13" s="104">
        <v>60</v>
      </c>
      <c r="K13" s="106">
        <v>-3934</v>
      </c>
      <c r="L13" s="104">
        <v>1866</v>
      </c>
      <c r="M13" s="106">
        <v>8100554</v>
      </c>
      <c r="N13" s="12" t="s">
        <v>14</v>
      </c>
    </row>
    <row r="14" spans="1:14" ht="18.75" customHeight="1">
      <c r="A14" s="11" t="s">
        <v>15</v>
      </c>
      <c r="B14" s="104">
        <f>_xlfn.COMPOUNDVALUE(149)</f>
        <v>1306</v>
      </c>
      <c r="C14" s="105">
        <v>8665448</v>
      </c>
      <c r="D14" s="104">
        <f>_xlfn.COMPOUNDVALUE(150)</f>
        <v>608</v>
      </c>
      <c r="E14" s="105">
        <v>422201</v>
      </c>
      <c r="F14" s="104">
        <f>_xlfn.COMPOUNDVALUE(151)</f>
        <v>1914</v>
      </c>
      <c r="G14" s="105">
        <v>9087649</v>
      </c>
      <c r="H14" s="104">
        <f>_xlfn.COMPOUNDVALUE(152)</f>
        <v>138</v>
      </c>
      <c r="I14" s="106">
        <v>592187</v>
      </c>
      <c r="J14" s="104">
        <v>76</v>
      </c>
      <c r="K14" s="106">
        <v>40382</v>
      </c>
      <c r="L14" s="104">
        <v>2085</v>
      </c>
      <c r="M14" s="106">
        <v>8535845</v>
      </c>
      <c r="N14" s="12" t="s">
        <v>15</v>
      </c>
    </row>
    <row r="15" spans="1:14" s="15" customFormat="1" ht="18.75" customHeight="1">
      <c r="A15" s="11" t="s">
        <v>16</v>
      </c>
      <c r="B15" s="104">
        <f>_xlfn.COMPOUNDVALUE(153)</f>
        <v>2485</v>
      </c>
      <c r="C15" s="105">
        <v>14562193</v>
      </c>
      <c r="D15" s="104">
        <f>_xlfn.COMPOUNDVALUE(154)</f>
        <v>1016</v>
      </c>
      <c r="E15" s="105">
        <v>706761</v>
      </c>
      <c r="F15" s="104">
        <f>_xlfn.COMPOUNDVALUE(155)</f>
        <v>3501</v>
      </c>
      <c r="G15" s="105">
        <v>15268954</v>
      </c>
      <c r="H15" s="104">
        <f>_xlfn.COMPOUNDVALUE(156)</f>
        <v>207</v>
      </c>
      <c r="I15" s="106">
        <v>946558</v>
      </c>
      <c r="J15" s="104">
        <v>172</v>
      </c>
      <c r="K15" s="106">
        <v>30883</v>
      </c>
      <c r="L15" s="104">
        <v>3744</v>
      </c>
      <c r="M15" s="106">
        <v>14353280</v>
      </c>
      <c r="N15" s="12" t="s">
        <v>16</v>
      </c>
    </row>
    <row r="16" spans="1:14" s="21" customFormat="1" ht="18.75" customHeight="1">
      <c r="A16" s="11" t="s">
        <v>17</v>
      </c>
      <c r="B16" s="104">
        <f>_xlfn.COMPOUNDVALUE(157)</f>
        <v>1577</v>
      </c>
      <c r="C16" s="105">
        <v>10865577</v>
      </c>
      <c r="D16" s="104">
        <f>_xlfn.COMPOUNDVALUE(158)</f>
        <v>713</v>
      </c>
      <c r="E16" s="105">
        <v>493001</v>
      </c>
      <c r="F16" s="104">
        <f>_xlfn.COMPOUNDVALUE(159)</f>
        <v>2290</v>
      </c>
      <c r="G16" s="105">
        <v>11358578</v>
      </c>
      <c r="H16" s="104">
        <f>_xlfn.COMPOUNDVALUE(160)</f>
        <v>116</v>
      </c>
      <c r="I16" s="106">
        <v>1592467</v>
      </c>
      <c r="J16" s="104">
        <v>116</v>
      </c>
      <c r="K16" s="106">
        <v>17352</v>
      </c>
      <c r="L16" s="104">
        <v>2435</v>
      </c>
      <c r="M16" s="106">
        <v>9783462</v>
      </c>
      <c r="N16" s="12" t="s">
        <v>17</v>
      </c>
    </row>
    <row r="17" spans="1:14" ht="18.75" customHeight="1">
      <c r="A17" s="11" t="s">
        <v>18</v>
      </c>
      <c r="B17" s="104">
        <f>_xlfn.COMPOUNDVALUE(161)</f>
        <v>2364</v>
      </c>
      <c r="C17" s="105">
        <v>15467711</v>
      </c>
      <c r="D17" s="104">
        <f>_xlfn.COMPOUNDVALUE(162)</f>
        <v>945</v>
      </c>
      <c r="E17" s="105">
        <v>641270</v>
      </c>
      <c r="F17" s="104">
        <f>_xlfn.COMPOUNDVALUE(163)</f>
        <v>3309</v>
      </c>
      <c r="G17" s="105">
        <v>16108981</v>
      </c>
      <c r="H17" s="104">
        <f>_xlfn.COMPOUNDVALUE(164)</f>
        <v>230</v>
      </c>
      <c r="I17" s="106">
        <v>1289931</v>
      </c>
      <c r="J17" s="104">
        <v>153</v>
      </c>
      <c r="K17" s="106">
        <v>44499</v>
      </c>
      <c r="L17" s="104">
        <v>3579</v>
      </c>
      <c r="M17" s="106">
        <v>14863549</v>
      </c>
      <c r="N17" s="12" t="s">
        <v>18</v>
      </c>
    </row>
    <row r="18" spans="1:14" ht="18.75" customHeight="1">
      <c r="A18" s="11" t="s">
        <v>19</v>
      </c>
      <c r="B18" s="104">
        <f>_xlfn.COMPOUNDVALUE(165)</f>
        <v>3547</v>
      </c>
      <c r="C18" s="105">
        <v>26732092</v>
      </c>
      <c r="D18" s="104">
        <f>_xlfn.COMPOUNDVALUE(166)</f>
        <v>1105</v>
      </c>
      <c r="E18" s="105">
        <v>814212</v>
      </c>
      <c r="F18" s="104">
        <f>_xlfn.COMPOUNDVALUE(167)</f>
        <v>4652</v>
      </c>
      <c r="G18" s="105">
        <v>27546304</v>
      </c>
      <c r="H18" s="104">
        <f>_xlfn.COMPOUNDVALUE(168)</f>
        <v>592</v>
      </c>
      <c r="I18" s="106">
        <v>3350629</v>
      </c>
      <c r="J18" s="104">
        <v>199</v>
      </c>
      <c r="K18" s="106">
        <v>24399</v>
      </c>
      <c r="L18" s="104">
        <v>5273</v>
      </c>
      <c r="M18" s="106">
        <v>24220074</v>
      </c>
      <c r="N18" s="12" t="s">
        <v>19</v>
      </c>
    </row>
    <row r="19" spans="1:14" ht="18.75" customHeight="1">
      <c r="A19" s="11" t="s">
        <v>20</v>
      </c>
      <c r="B19" s="104">
        <f>_xlfn.COMPOUNDVALUE(169)</f>
        <v>1326</v>
      </c>
      <c r="C19" s="105">
        <v>8710597</v>
      </c>
      <c r="D19" s="104">
        <f>_xlfn.COMPOUNDVALUE(170)</f>
        <v>487</v>
      </c>
      <c r="E19" s="105">
        <v>350603</v>
      </c>
      <c r="F19" s="104">
        <f>_xlfn.COMPOUNDVALUE(171)</f>
        <v>1813</v>
      </c>
      <c r="G19" s="105">
        <v>9061200</v>
      </c>
      <c r="H19" s="104">
        <f>_xlfn.COMPOUNDVALUE(172)</f>
        <v>150</v>
      </c>
      <c r="I19" s="106">
        <v>226246</v>
      </c>
      <c r="J19" s="104">
        <v>111</v>
      </c>
      <c r="K19" s="106">
        <v>102540</v>
      </c>
      <c r="L19" s="104">
        <v>1990</v>
      </c>
      <c r="M19" s="106">
        <v>8937494</v>
      </c>
      <c r="N19" s="12" t="s">
        <v>20</v>
      </c>
    </row>
    <row r="20" spans="1:14" ht="18.75" customHeight="1">
      <c r="A20" s="11" t="s">
        <v>21</v>
      </c>
      <c r="B20" s="104">
        <f>_xlfn.COMPOUNDVALUE(173)</f>
        <v>1420</v>
      </c>
      <c r="C20" s="105">
        <v>7517591</v>
      </c>
      <c r="D20" s="104">
        <f>_xlfn.COMPOUNDVALUE(174)</f>
        <v>589</v>
      </c>
      <c r="E20" s="105">
        <v>425141</v>
      </c>
      <c r="F20" s="104">
        <f>_xlfn.COMPOUNDVALUE(175)</f>
        <v>2009</v>
      </c>
      <c r="G20" s="105">
        <v>7942732</v>
      </c>
      <c r="H20" s="104">
        <f>_xlfn.COMPOUNDVALUE(176)</f>
        <v>258</v>
      </c>
      <c r="I20" s="106">
        <v>724508</v>
      </c>
      <c r="J20" s="104">
        <v>147</v>
      </c>
      <c r="K20" s="106">
        <v>-68040</v>
      </c>
      <c r="L20" s="104">
        <v>2285</v>
      </c>
      <c r="M20" s="106">
        <v>7150184</v>
      </c>
      <c r="N20" s="12" t="s">
        <v>21</v>
      </c>
    </row>
    <row r="21" spans="1:14" ht="18.75" customHeight="1">
      <c r="A21" s="11" t="s">
        <v>22</v>
      </c>
      <c r="B21" s="104">
        <f>_xlfn.COMPOUNDVALUE(177)</f>
        <v>912</v>
      </c>
      <c r="C21" s="105">
        <v>5992824</v>
      </c>
      <c r="D21" s="104">
        <f>_xlfn.COMPOUNDVALUE(178)</f>
        <v>300</v>
      </c>
      <c r="E21" s="105">
        <v>197298</v>
      </c>
      <c r="F21" s="104">
        <f>_xlfn.COMPOUNDVALUE(179)</f>
        <v>1212</v>
      </c>
      <c r="G21" s="105">
        <v>6190122</v>
      </c>
      <c r="H21" s="104">
        <f>_xlfn.COMPOUNDVALUE(180)</f>
        <v>239</v>
      </c>
      <c r="I21" s="106">
        <v>912554</v>
      </c>
      <c r="J21" s="104">
        <v>61</v>
      </c>
      <c r="K21" s="106">
        <v>20539</v>
      </c>
      <c r="L21" s="104">
        <v>1458</v>
      </c>
      <c r="M21" s="106">
        <v>5298107</v>
      </c>
      <c r="N21" s="12" t="s">
        <v>22</v>
      </c>
    </row>
    <row r="22" spans="1:14" ht="18.75" customHeight="1">
      <c r="A22" s="11" t="s">
        <v>23</v>
      </c>
      <c r="B22" s="104">
        <f>_xlfn.COMPOUNDVALUE(181)</f>
        <v>437</v>
      </c>
      <c r="C22" s="105">
        <v>2304079</v>
      </c>
      <c r="D22" s="104">
        <f>_xlfn.COMPOUNDVALUE(182)</f>
        <v>179</v>
      </c>
      <c r="E22" s="105">
        <v>123443</v>
      </c>
      <c r="F22" s="104">
        <f>_xlfn.COMPOUNDVALUE(183)</f>
        <v>616</v>
      </c>
      <c r="G22" s="105">
        <v>2427523</v>
      </c>
      <c r="H22" s="104">
        <f>_xlfn.COMPOUNDVALUE(184)</f>
        <v>51</v>
      </c>
      <c r="I22" s="106">
        <v>520313</v>
      </c>
      <c r="J22" s="104">
        <v>33</v>
      </c>
      <c r="K22" s="106">
        <v>-7608</v>
      </c>
      <c r="L22" s="104">
        <v>669</v>
      </c>
      <c r="M22" s="106">
        <v>1899602</v>
      </c>
      <c r="N22" s="12" t="s">
        <v>23</v>
      </c>
    </row>
    <row r="23" spans="1:14" ht="18.75" customHeight="1">
      <c r="A23" s="11" t="s">
        <v>24</v>
      </c>
      <c r="B23" s="104">
        <f>_xlfn.COMPOUNDVALUE(185)</f>
        <v>2378</v>
      </c>
      <c r="C23" s="105">
        <v>23450962</v>
      </c>
      <c r="D23" s="104">
        <f>_xlfn.COMPOUNDVALUE(186)</f>
        <v>803</v>
      </c>
      <c r="E23" s="105">
        <v>582872</v>
      </c>
      <c r="F23" s="104">
        <f>_xlfn.COMPOUNDVALUE(187)</f>
        <v>3181</v>
      </c>
      <c r="G23" s="105">
        <v>24033834</v>
      </c>
      <c r="H23" s="104">
        <f>_xlfn.COMPOUNDVALUE(188)</f>
        <v>208</v>
      </c>
      <c r="I23" s="106">
        <v>2172104</v>
      </c>
      <c r="J23" s="104">
        <v>152</v>
      </c>
      <c r="K23" s="106">
        <v>-13205</v>
      </c>
      <c r="L23" s="104">
        <v>3400</v>
      </c>
      <c r="M23" s="106">
        <v>21848525</v>
      </c>
      <c r="N23" s="12" t="s">
        <v>24</v>
      </c>
    </row>
    <row r="24" spans="1:14" ht="18.75" customHeight="1">
      <c r="A24" s="13" t="s">
        <v>25</v>
      </c>
      <c r="B24" s="107">
        <f>_xlfn.COMPOUNDVALUE(189)</f>
        <v>916</v>
      </c>
      <c r="C24" s="108">
        <v>5340828</v>
      </c>
      <c r="D24" s="107">
        <f>_xlfn.COMPOUNDVALUE(190)</f>
        <v>232</v>
      </c>
      <c r="E24" s="108">
        <v>173759</v>
      </c>
      <c r="F24" s="107">
        <f>_xlfn.COMPOUNDVALUE(191)</f>
        <v>1148</v>
      </c>
      <c r="G24" s="108">
        <v>5514587</v>
      </c>
      <c r="H24" s="107">
        <f>_xlfn.COMPOUNDVALUE(192)</f>
        <v>132</v>
      </c>
      <c r="I24" s="109">
        <v>628780</v>
      </c>
      <c r="J24" s="107">
        <v>54</v>
      </c>
      <c r="K24" s="109">
        <v>29828</v>
      </c>
      <c r="L24" s="107">
        <v>1290</v>
      </c>
      <c r="M24" s="109">
        <v>4915634</v>
      </c>
      <c r="N24" s="14" t="s">
        <v>25</v>
      </c>
    </row>
    <row r="25" spans="1:14" s="15" customFormat="1" ht="18.75" customHeight="1">
      <c r="A25" s="13" t="s">
        <v>26</v>
      </c>
      <c r="B25" s="107">
        <f>_xlfn.COMPOUNDVALUE(193)</f>
        <v>692</v>
      </c>
      <c r="C25" s="108">
        <v>4371014</v>
      </c>
      <c r="D25" s="107">
        <f>_xlfn.COMPOUNDVALUE(194)</f>
        <v>179</v>
      </c>
      <c r="E25" s="108">
        <v>129081</v>
      </c>
      <c r="F25" s="107">
        <f>_xlfn.COMPOUNDVALUE(195)</f>
        <v>871</v>
      </c>
      <c r="G25" s="108">
        <v>4500095</v>
      </c>
      <c r="H25" s="107">
        <f>_xlfn.COMPOUNDVALUE(196)</f>
        <v>120</v>
      </c>
      <c r="I25" s="109">
        <v>951528</v>
      </c>
      <c r="J25" s="107">
        <v>78</v>
      </c>
      <c r="K25" s="109">
        <v>22949</v>
      </c>
      <c r="L25" s="107">
        <v>1004</v>
      </c>
      <c r="M25" s="109">
        <v>3571516</v>
      </c>
      <c r="N25" s="14" t="s">
        <v>26</v>
      </c>
    </row>
    <row r="26" spans="1:14" s="21" customFormat="1" ht="18.75" customHeight="1">
      <c r="A26" s="13" t="s">
        <v>27</v>
      </c>
      <c r="B26" s="107">
        <f>_xlfn.COMPOUNDVALUE(197)</f>
        <v>579</v>
      </c>
      <c r="C26" s="108">
        <v>3170527</v>
      </c>
      <c r="D26" s="107">
        <f>_xlfn.COMPOUNDVALUE(198)</f>
        <v>236</v>
      </c>
      <c r="E26" s="108">
        <v>154312</v>
      </c>
      <c r="F26" s="107">
        <f>_xlfn.COMPOUNDVALUE(199)</f>
        <v>815</v>
      </c>
      <c r="G26" s="108">
        <v>3324839</v>
      </c>
      <c r="H26" s="107">
        <f>_xlfn.COMPOUNDVALUE(200)</f>
        <v>124</v>
      </c>
      <c r="I26" s="109">
        <v>504855</v>
      </c>
      <c r="J26" s="107">
        <v>26</v>
      </c>
      <c r="K26" s="109">
        <v>-3040</v>
      </c>
      <c r="L26" s="107">
        <v>946</v>
      </c>
      <c r="M26" s="109">
        <v>2816944</v>
      </c>
      <c r="N26" s="14" t="s">
        <v>27</v>
      </c>
    </row>
    <row r="27" spans="1:14" ht="18.75" customHeight="1">
      <c r="A27" s="13" t="s">
        <v>28</v>
      </c>
      <c r="B27" s="107">
        <f>_xlfn.COMPOUNDVALUE(201)</f>
        <v>1136</v>
      </c>
      <c r="C27" s="108">
        <v>5944559</v>
      </c>
      <c r="D27" s="107">
        <f>_xlfn.COMPOUNDVALUE(202)</f>
        <v>352</v>
      </c>
      <c r="E27" s="108">
        <v>222994</v>
      </c>
      <c r="F27" s="107">
        <f>_xlfn.COMPOUNDVALUE(203)</f>
        <v>1488</v>
      </c>
      <c r="G27" s="108">
        <v>6167553</v>
      </c>
      <c r="H27" s="107">
        <f>_xlfn.COMPOUNDVALUE(204)</f>
        <v>247</v>
      </c>
      <c r="I27" s="109">
        <v>1102657</v>
      </c>
      <c r="J27" s="107">
        <v>88</v>
      </c>
      <c r="K27" s="109">
        <v>-5494</v>
      </c>
      <c r="L27" s="107">
        <v>1743</v>
      </c>
      <c r="M27" s="109">
        <v>5059402</v>
      </c>
      <c r="N27" s="14" t="s">
        <v>28</v>
      </c>
    </row>
    <row r="28" spans="1:14" ht="18.75" customHeight="1">
      <c r="A28" s="13" t="s">
        <v>29</v>
      </c>
      <c r="B28" s="107">
        <f>_xlfn.COMPOUNDVALUE(205)</f>
        <v>846</v>
      </c>
      <c r="C28" s="108">
        <v>6935904</v>
      </c>
      <c r="D28" s="107">
        <f>_xlfn.COMPOUNDVALUE(206)</f>
        <v>401</v>
      </c>
      <c r="E28" s="108">
        <v>253814</v>
      </c>
      <c r="F28" s="107">
        <f>_xlfn.COMPOUNDVALUE(207)</f>
        <v>1247</v>
      </c>
      <c r="G28" s="108">
        <v>7189719</v>
      </c>
      <c r="H28" s="107">
        <f>_xlfn.COMPOUNDVALUE(208)</f>
        <v>63</v>
      </c>
      <c r="I28" s="109">
        <v>129326</v>
      </c>
      <c r="J28" s="107">
        <v>45</v>
      </c>
      <c r="K28" s="109">
        <v>-5217</v>
      </c>
      <c r="L28" s="107">
        <v>1315</v>
      </c>
      <c r="M28" s="109">
        <v>7055176</v>
      </c>
      <c r="N28" s="14" t="s">
        <v>29</v>
      </c>
    </row>
    <row r="29" spans="1:14" ht="18.75" customHeight="1">
      <c r="A29" s="13" t="s">
        <v>30</v>
      </c>
      <c r="B29" s="107">
        <f>_xlfn.COMPOUNDVALUE(209)</f>
        <v>371</v>
      </c>
      <c r="C29" s="108">
        <v>1798531</v>
      </c>
      <c r="D29" s="107">
        <f>_xlfn.COMPOUNDVALUE(210)</f>
        <v>137</v>
      </c>
      <c r="E29" s="108">
        <v>85886</v>
      </c>
      <c r="F29" s="107">
        <f>_xlfn.COMPOUNDVALUE(211)</f>
        <v>508</v>
      </c>
      <c r="G29" s="108">
        <v>1884417</v>
      </c>
      <c r="H29" s="107">
        <f>_xlfn.COMPOUNDVALUE(212)</f>
        <v>70</v>
      </c>
      <c r="I29" s="109">
        <v>70002</v>
      </c>
      <c r="J29" s="107">
        <v>29</v>
      </c>
      <c r="K29" s="109">
        <v>-3194</v>
      </c>
      <c r="L29" s="107">
        <v>581</v>
      </c>
      <c r="M29" s="109">
        <v>1811220</v>
      </c>
      <c r="N29" s="14" t="s">
        <v>30</v>
      </c>
    </row>
    <row r="30" spans="1:14" ht="18.75" customHeight="1">
      <c r="A30" s="13" t="s">
        <v>31</v>
      </c>
      <c r="B30" s="107">
        <f>_xlfn.COMPOUNDVALUE(213)</f>
        <v>338</v>
      </c>
      <c r="C30" s="108">
        <v>1993820</v>
      </c>
      <c r="D30" s="107">
        <f>_xlfn.COMPOUNDVALUE(214)</f>
        <v>137</v>
      </c>
      <c r="E30" s="108">
        <v>94328</v>
      </c>
      <c r="F30" s="107">
        <f>_xlfn.COMPOUNDVALUE(215)</f>
        <v>475</v>
      </c>
      <c r="G30" s="108">
        <v>2088148</v>
      </c>
      <c r="H30" s="107">
        <f>_xlfn.COMPOUNDVALUE(216)</f>
        <v>92</v>
      </c>
      <c r="I30" s="109">
        <v>409323</v>
      </c>
      <c r="J30" s="107">
        <v>45</v>
      </c>
      <c r="K30" s="109">
        <v>31355</v>
      </c>
      <c r="L30" s="107">
        <v>573</v>
      </c>
      <c r="M30" s="109">
        <v>1710180</v>
      </c>
      <c r="N30" s="14" t="s">
        <v>31</v>
      </c>
    </row>
    <row r="31" spans="1:14" ht="18.75" customHeight="1">
      <c r="A31" s="13" t="s">
        <v>32</v>
      </c>
      <c r="B31" s="107">
        <f>_xlfn.COMPOUNDVALUE(217)</f>
        <v>545</v>
      </c>
      <c r="C31" s="108">
        <v>2798277</v>
      </c>
      <c r="D31" s="107">
        <f>_xlfn.COMPOUNDVALUE(218)</f>
        <v>237</v>
      </c>
      <c r="E31" s="108">
        <v>148548</v>
      </c>
      <c r="F31" s="107">
        <f>_xlfn.COMPOUNDVALUE(219)</f>
        <v>782</v>
      </c>
      <c r="G31" s="108">
        <v>2946825</v>
      </c>
      <c r="H31" s="107">
        <f>_xlfn.COMPOUNDVALUE(220)</f>
        <v>67</v>
      </c>
      <c r="I31" s="109">
        <v>387546</v>
      </c>
      <c r="J31" s="107">
        <v>21</v>
      </c>
      <c r="K31" s="109">
        <v>11862</v>
      </c>
      <c r="L31" s="107">
        <v>850</v>
      </c>
      <c r="M31" s="109">
        <v>2571141</v>
      </c>
      <c r="N31" s="14" t="s">
        <v>32</v>
      </c>
    </row>
    <row r="32" spans="1:14" ht="18.75" customHeight="1">
      <c r="A32" s="13" t="s">
        <v>33</v>
      </c>
      <c r="B32" s="107">
        <f>_xlfn.COMPOUNDVALUE(221)</f>
        <v>245</v>
      </c>
      <c r="C32" s="108">
        <v>1103266</v>
      </c>
      <c r="D32" s="107">
        <f>_xlfn.COMPOUNDVALUE(222)</f>
        <v>118</v>
      </c>
      <c r="E32" s="108">
        <v>86776</v>
      </c>
      <c r="F32" s="107">
        <f>_xlfn.COMPOUNDVALUE(223)</f>
        <v>363</v>
      </c>
      <c r="G32" s="108">
        <v>1190041</v>
      </c>
      <c r="H32" s="107">
        <f>_xlfn.COMPOUNDVALUE(224)</f>
        <v>19</v>
      </c>
      <c r="I32" s="109">
        <v>246304</v>
      </c>
      <c r="J32" s="107">
        <v>14</v>
      </c>
      <c r="K32" s="109">
        <v>-2295</v>
      </c>
      <c r="L32" s="107">
        <v>386</v>
      </c>
      <c r="M32" s="109">
        <v>941442</v>
      </c>
      <c r="N32" s="14" t="s">
        <v>33</v>
      </c>
    </row>
    <row r="33" spans="1:14" ht="18.75" customHeight="1">
      <c r="A33" s="13" t="s">
        <v>34</v>
      </c>
      <c r="B33" s="107">
        <f>_xlfn.COMPOUNDVALUE(225)</f>
        <v>769</v>
      </c>
      <c r="C33" s="108">
        <v>3938056</v>
      </c>
      <c r="D33" s="107">
        <f>_xlfn.COMPOUNDVALUE(226)</f>
        <v>283</v>
      </c>
      <c r="E33" s="108">
        <v>194897</v>
      </c>
      <c r="F33" s="107">
        <f>_xlfn.COMPOUNDVALUE(227)</f>
        <v>1052</v>
      </c>
      <c r="G33" s="108">
        <v>4132954</v>
      </c>
      <c r="H33" s="107">
        <f>_xlfn.COMPOUNDVALUE(228)</f>
        <v>294</v>
      </c>
      <c r="I33" s="109">
        <v>1195139</v>
      </c>
      <c r="J33" s="107">
        <v>46</v>
      </c>
      <c r="K33" s="109">
        <v>9377</v>
      </c>
      <c r="L33" s="107">
        <v>1357</v>
      </c>
      <c r="M33" s="109">
        <v>2947191</v>
      </c>
      <c r="N33" s="14" t="s">
        <v>34</v>
      </c>
    </row>
    <row r="34" spans="1:14" ht="18.75" customHeight="1">
      <c r="A34" s="13" t="s">
        <v>35</v>
      </c>
      <c r="B34" s="107">
        <f>_xlfn.COMPOUNDVALUE(229)</f>
        <v>266</v>
      </c>
      <c r="C34" s="108">
        <v>3914963</v>
      </c>
      <c r="D34" s="107">
        <f>_xlfn.COMPOUNDVALUE(230)</f>
        <v>112</v>
      </c>
      <c r="E34" s="108">
        <v>77758</v>
      </c>
      <c r="F34" s="107">
        <f>_xlfn.COMPOUNDVALUE(231)</f>
        <v>378</v>
      </c>
      <c r="G34" s="108">
        <v>3992721</v>
      </c>
      <c r="H34" s="107">
        <f>_xlfn.COMPOUNDVALUE(232)</f>
        <v>32</v>
      </c>
      <c r="I34" s="109">
        <v>25287</v>
      </c>
      <c r="J34" s="107">
        <v>19</v>
      </c>
      <c r="K34" s="109">
        <v>8189</v>
      </c>
      <c r="L34" s="107">
        <v>415</v>
      </c>
      <c r="M34" s="109">
        <v>3975623</v>
      </c>
      <c r="N34" s="14" t="s">
        <v>35</v>
      </c>
    </row>
    <row r="35" spans="1:14" s="15" customFormat="1" ht="18.75" customHeight="1">
      <c r="A35" s="13" t="s">
        <v>36</v>
      </c>
      <c r="B35" s="107">
        <f>_xlfn.COMPOUNDVALUE(233)</f>
        <v>664</v>
      </c>
      <c r="C35" s="108">
        <v>3481954</v>
      </c>
      <c r="D35" s="107">
        <f>_xlfn.COMPOUNDVALUE(234)</f>
        <v>289</v>
      </c>
      <c r="E35" s="108">
        <v>225777</v>
      </c>
      <c r="F35" s="107">
        <f>_xlfn.COMPOUNDVALUE(235)</f>
        <v>953</v>
      </c>
      <c r="G35" s="108">
        <v>3707731</v>
      </c>
      <c r="H35" s="107">
        <f>_xlfn.COMPOUNDVALUE(236)</f>
        <v>84</v>
      </c>
      <c r="I35" s="109">
        <v>495423</v>
      </c>
      <c r="J35" s="107">
        <v>45</v>
      </c>
      <c r="K35" s="109">
        <v>-41009</v>
      </c>
      <c r="L35" s="107">
        <v>1039</v>
      </c>
      <c r="M35" s="109">
        <v>3171299</v>
      </c>
      <c r="N35" s="14" t="s">
        <v>36</v>
      </c>
    </row>
    <row r="36" spans="1:14" s="21" customFormat="1" ht="18.75" customHeight="1" thickBot="1">
      <c r="A36" s="76" t="s">
        <v>37</v>
      </c>
      <c r="B36" s="110">
        <f>_xlfn.COMPOUNDVALUE(237)</f>
        <v>386</v>
      </c>
      <c r="C36" s="111">
        <v>1969096</v>
      </c>
      <c r="D36" s="110">
        <f>_xlfn.COMPOUNDVALUE(238)</f>
        <v>126</v>
      </c>
      <c r="E36" s="111">
        <v>80891</v>
      </c>
      <c r="F36" s="110">
        <f>_xlfn.COMPOUNDVALUE(239)</f>
        <v>512</v>
      </c>
      <c r="G36" s="111">
        <v>2049987</v>
      </c>
      <c r="H36" s="110">
        <f>_xlfn.COMPOUNDVALUE(240)</f>
        <v>112</v>
      </c>
      <c r="I36" s="112">
        <v>471715</v>
      </c>
      <c r="J36" s="110">
        <v>21</v>
      </c>
      <c r="K36" s="112">
        <v>2579</v>
      </c>
      <c r="L36" s="110">
        <v>629</v>
      </c>
      <c r="M36" s="112">
        <v>1580851</v>
      </c>
      <c r="N36" s="74" t="s">
        <v>37</v>
      </c>
    </row>
    <row r="37" spans="1:14" ht="18.75" customHeight="1" thickBot="1" thickTop="1">
      <c r="A37" s="16" t="s">
        <v>43</v>
      </c>
      <c r="B37" s="113">
        <v>55502</v>
      </c>
      <c r="C37" s="114">
        <v>463114834</v>
      </c>
      <c r="D37" s="113">
        <v>20411</v>
      </c>
      <c r="E37" s="114">
        <v>14529010</v>
      </c>
      <c r="F37" s="113">
        <v>75913</v>
      </c>
      <c r="G37" s="114">
        <v>477643843</v>
      </c>
      <c r="H37" s="113">
        <v>7171</v>
      </c>
      <c r="I37" s="115">
        <v>37820812</v>
      </c>
      <c r="J37" s="113">
        <v>3521</v>
      </c>
      <c r="K37" s="115">
        <v>1085984</v>
      </c>
      <c r="L37" s="113">
        <v>83766</v>
      </c>
      <c r="M37" s="115">
        <v>440909015</v>
      </c>
      <c r="N37" s="17" t="str">
        <f>IF(A37="","",A37)</f>
        <v>合　　計</v>
      </c>
    </row>
    <row r="38" spans="1:14" s="21" customFormat="1" ht="3" customHeight="1">
      <c r="A38" s="31"/>
      <c r="B38" s="32"/>
      <c r="C38" s="32"/>
      <c r="D38" s="32"/>
      <c r="E38" s="32"/>
      <c r="F38" s="32"/>
      <c r="G38" s="32"/>
      <c r="H38" s="32"/>
      <c r="I38" s="32"/>
      <c r="J38" s="32"/>
      <c r="K38" s="32"/>
      <c r="L38" s="32"/>
      <c r="M38" s="32"/>
      <c r="N38" s="31"/>
    </row>
    <row r="39" spans="1:14" ht="12.75">
      <c r="A39" s="166" t="s">
        <v>93</v>
      </c>
      <c r="B39" s="166"/>
      <c r="C39" s="166"/>
      <c r="D39" s="166"/>
      <c r="E39" s="166"/>
      <c r="F39" s="166"/>
      <c r="G39" s="166"/>
      <c r="H39" s="166"/>
      <c r="I39" s="166"/>
      <c r="J39" s="18"/>
      <c r="K39" s="18"/>
      <c r="L39" s="2"/>
      <c r="M39" s="2"/>
      <c r="N39" s="2"/>
    </row>
  </sheetData>
  <sheetProtection/>
  <mergeCells count="11">
    <mergeCell ref="A39:I39"/>
    <mergeCell ref="A2:I2"/>
    <mergeCell ref="A3:A5"/>
    <mergeCell ref="B3:G3"/>
    <mergeCell ref="H3:I4"/>
    <mergeCell ref="N3:N5"/>
    <mergeCell ref="B4:C4"/>
    <mergeCell ref="D4:E4"/>
    <mergeCell ref="F4:G4"/>
    <mergeCell ref="J3:K4"/>
    <mergeCell ref="L3:M4"/>
  </mergeCells>
  <printOptions horizontalCentered="1"/>
  <pageMargins left="0.7874015748031497" right="0.5511811023622047" top="0.5118110236220472" bottom="0.5905511811023623" header="0.5118110236220472" footer="0.31496062992125984"/>
  <pageSetup fitToHeight="0" horizontalDpi="600" verticalDpi="600" orientation="landscape" paperSize="9" scale="75" r:id="rId1"/>
  <headerFooter alignWithMargins="0">
    <oddFooter>&amp;R札幌国税局　
消費税
（R03）</oddFooter>
  </headerFooter>
</worksheet>
</file>

<file path=xl/worksheets/sheet6.xml><?xml version="1.0" encoding="utf-8"?>
<worksheet xmlns="http://schemas.openxmlformats.org/spreadsheetml/2006/main" xmlns:r="http://schemas.openxmlformats.org/officeDocument/2006/relationships">
  <dimension ref="A1:R40"/>
  <sheetViews>
    <sheetView zoomScale="96" zoomScaleNormal="96" zoomScaleSheetLayoutView="100" workbookViewId="0" topLeftCell="A1">
      <selection activeCell="A1" sqref="A1"/>
    </sheetView>
  </sheetViews>
  <sheetFormatPr defaultColWidth="9.00390625" defaultRowHeight="15"/>
  <cols>
    <col min="1" max="1" width="11.57421875" style="3" customWidth="1"/>
    <col min="2" max="2" width="8.57421875" style="3" customWidth="1"/>
    <col min="3" max="3" width="10.57421875" style="3" customWidth="1"/>
    <col min="4" max="4" width="8.57421875" style="3" customWidth="1"/>
    <col min="5" max="5" width="10.57421875" style="3" customWidth="1"/>
    <col min="6" max="6" width="8.57421875" style="3" customWidth="1"/>
    <col min="7" max="7" width="11.57421875" style="3" customWidth="1"/>
    <col min="8" max="8" width="8.57421875" style="3" customWidth="1"/>
    <col min="9" max="9" width="11.57421875" style="3" customWidth="1"/>
    <col min="10" max="10" width="8.57421875" style="3" customWidth="1"/>
    <col min="11" max="11" width="11.57421875" style="3" customWidth="1"/>
    <col min="12" max="12" width="8.57421875" style="3" customWidth="1"/>
    <col min="13" max="13" width="12.00390625" style="3" customWidth="1"/>
    <col min="14" max="17" width="10.00390625" style="3" customWidth="1"/>
    <col min="18" max="18" width="11.57421875" style="3" customWidth="1"/>
    <col min="19" max="16384" width="9.00390625" style="3" customWidth="1"/>
  </cols>
  <sheetData>
    <row r="1" spans="1:16" ht="12.75">
      <c r="A1" s="1" t="s">
        <v>97</v>
      </c>
      <c r="B1" s="1"/>
      <c r="C1" s="1"/>
      <c r="D1" s="1"/>
      <c r="E1" s="1"/>
      <c r="F1" s="1"/>
      <c r="G1" s="1"/>
      <c r="H1" s="1"/>
      <c r="I1" s="1"/>
      <c r="J1" s="1"/>
      <c r="K1" s="1"/>
      <c r="L1" s="2"/>
      <c r="M1" s="2"/>
      <c r="N1" s="2"/>
      <c r="O1" s="2"/>
      <c r="P1" s="2"/>
    </row>
    <row r="2" spans="1:16" ht="13.5" thickBot="1">
      <c r="A2" s="184" t="s">
        <v>40</v>
      </c>
      <c r="B2" s="184"/>
      <c r="C2" s="184"/>
      <c r="D2" s="184"/>
      <c r="E2" s="184"/>
      <c r="F2" s="184"/>
      <c r="G2" s="184"/>
      <c r="H2" s="184"/>
      <c r="I2" s="184"/>
      <c r="J2" s="18"/>
      <c r="K2" s="18"/>
      <c r="L2" s="2"/>
      <c r="M2" s="2"/>
      <c r="N2" s="2"/>
      <c r="O2" s="2"/>
      <c r="P2" s="2"/>
    </row>
    <row r="3" spans="1:18" ht="19.5" customHeight="1">
      <c r="A3" s="180" t="s">
        <v>71</v>
      </c>
      <c r="B3" s="183" t="s">
        <v>76</v>
      </c>
      <c r="C3" s="183"/>
      <c r="D3" s="183"/>
      <c r="E3" s="183"/>
      <c r="F3" s="183"/>
      <c r="G3" s="183"/>
      <c r="H3" s="183" t="s">
        <v>1</v>
      </c>
      <c r="I3" s="183"/>
      <c r="J3" s="192" t="s">
        <v>2</v>
      </c>
      <c r="K3" s="183"/>
      <c r="L3" s="183" t="s">
        <v>3</v>
      </c>
      <c r="M3" s="183"/>
      <c r="N3" s="193" t="s">
        <v>83</v>
      </c>
      <c r="O3" s="194"/>
      <c r="P3" s="194"/>
      <c r="Q3" s="195"/>
      <c r="R3" s="168" t="s">
        <v>39</v>
      </c>
    </row>
    <row r="4" spans="1:18" ht="17.25" customHeight="1">
      <c r="A4" s="181"/>
      <c r="B4" s="171" t="s">
        <v>72</v>
      </c>
      <c r="C4" s="171"/>
      <c r="D4" s="171" t="s">
        <v>5</v>
      </c>
      <c r="E4" s="171"/>
      <c r="F4" s="171" t="s">
        <v>6</v>
      </c>
      <c r="G4" s="171"/>
      <c r="H4" s="171"/>
      <c r="I4" s="171"/>
      <c r="J4" s="171"/>
      <c r="K4" s="171"/>
      <c r="L4" s="171"/>
      <c r="M4" s="171"/>
      <c r="N4" s="185" t="s">
        <v>41</v>
      </c>
      <c r="O4" s="187" t="s">
        <v>84</v>
      </c>
      <c r="P4" s="189" t="s">
        <v>85</v>
      </c>
      <c r="Q4" s="178" t="s">
        <v>42</v>
      </c>
      <c r="R4" s="169"/>
    </row>
    <row r="5" spans="1:18" ht="28.5" customHeight="1">
      <c r="A5" s="182"/>
      <c r="B5" s="75" t="s">
        <v>73</v>
      </c>
      <c r="C5" s="26" t="s">
        <v>74</v>
      </c>
      <c r="D5" s="75" t="s">
        <v>73</v>
      </c>
      <c r="E5" s="26" t="s">
        <v>74</v>
      </c>
      <c r="F5" s="75" t="s">
        <v>73</v>
      </c>
      <c r="G5" s="26" t="s">
        <v>75</v>
      </c>
      <c r="H5" s="75" t="s">
        <v>73</v>
      </c>
      <c r="I5" s="26" t="s">
        <v>77</v>
      </c>
      <c r="J5" s="75" t="s">
        <v>73</v>
      </c>
      <c r="K5" s="26" t="s">
        <v>78</v>
      </c>
      <c r="L5" s="75" t="s">
        <v>73</v>
      </c>
      <c r="M5" s="22" t="s">
        <v>82</v>
      </c>
      <c r="N5" s="186"/>
      <c r="O5" s="188"/>
      <c r="P5" s="190"/>
      <c r="Q5" s="191"/>
      <c r="R5" s="170"/>
    </row>
    <row r="6" spans="1:18" s="20" customFormat="1" ht="9">
      <c r="A6" s="5"/>
      <c r="B6" s="6" t="s">
        <v>7</v>
      </c>
      <c r="C6" s="7" t="s">
        <v>8</v>
      </c>
      <c r="D6" s="6" t="s">
        <v>7</v>
      </c>
      <c r="E6" s="7" t="s">
        <v>8</v>
      </c>
      <c r="F6" s="6" t="s">
        <v>7</v>
      </c>
      <c r="G6" s="7" t="s">
        <v>8</v>
      </c>
      <c r="H6" s="6" t="s">
        <v>7</v>
      </c>
      <c r="I6" s="7" t="s">
        <v>8</v>
      </c>
      <c r="J6" s="6" t="s">
        <v>7</v>
      </c>
      <c r="K6" s="7" t="s">
        <v>8</v>
      </c>
      <c r="L6" s="6" t="s">
        <v>95</v>
      </c>
      <c r="M6" s="7" t="s">
        <v>8</v>
      </c>
      <c r="N6" s="6" t="s">
        <v>7</v>
      </c>
      <c r="O6" s="23" t="s">
        <v>7</v>
      </c>
      <c r="P6" s="23" t="s">
        <v>7</v>
      </c>
      <c r="Q6" s="24" t="s">
        <v>7</v>
      </c>
      <c r="R6" s="9"/>
    </row>
    <row r="7" spans="1:18" ht="18.75" customHeight="1">
      <c r="A7" s="11" t="s">
        <v>9</v>
      </c>
      <c r="B7" s="104">
        <f>_xlfn.COMPOUNDVALUE(241)</f>
        <v>3678</v>
      </c>
      <c r="C7" s="105">
        <v>64593589</v>
      </c>
      <c r="D7" s="104">
        <f>_xlfn.COMPOUNDVALUE(242)</f>
        <v>1114</v>
      </c>
      <c r="E7" s="105">
        <v>836359</v>
      </c>
      <c r="F7" s="104">
        <f>_xlfn.COMPOUNDVALUE(243)</f>
        <v>4792</v>
      </c>
      <c r="G7" s="105">
        <v>65429948</v>
      </c>
      <c r="H7" s="104">
        <f>_xlfn.COMPOUNDVALUE(244)</f>
        <v>865</v>
      </c>
      <c r="I7" s="106">
        <v>4818072</v>
      </c>
      <c r="J7" s="104">
        <v>259</v>
      </c>
      <c r="K7" s="106">
        <v>208101</v>
      </c>
      <c r="L7" s="104">
        <v>5737</v>
      </c>
      <c r="M7" s="106">
        <v>60819976</v>
      </c>
      <c r="N7" s="104">
        <v>5614</v>
      </c>
      <c r="O7" s="116">
        <v>264</v>
      </c>
      <c r="P7" s="116">
        <v>50</v>
      </c>
      <c r="Q7" s="117">
        <v>5928</v>
      </c>
      <c r="R7" s="12" t="str">
        <f aca="true" t="shared" si="0" ref="R7:R37">IF(A7="","",A7)</f>
        <v>札幌中</v>
      </c>
    </row>
    <row r="8" spans="1:18" ht="18.75" customHeight="1">
      <c r="A8" s="11" t="s">
        <v>10</v>
      </c>
      <c r="B8" s="104">
        <f>_xlfn.COMPOUNDVALUE(245)</f>
        <v>8181</v>
      </c>
      <c r="C8" s="105">
        <v>77086887</v>
      </c>
      <c r="D8" s="104">
        <f>_xlfn.COMPOUNDVALUE(246)</f>
        <v>4417</v>
      </c>
      <c r="E8" s="105">
        <v>2711256</v>
      </c>
      <c r="F8" s="104">
        <f>_xlfn.COMPOUNDVALUE(247)</f>
        <v>12598</v>
      </c>
      <c r="G8" s="105">
        <v>79798143</v>
      </c>
      <c r="H8" s="104">
        <f>_xlfn.COMPOUNDVALUE(248)</f>
        <v>914</v>
      </c>
      <c r="I8" s="106">
        <v>1957548</v>
      </c>
      <c r="J8" s="104">
        <v>595</v>
      </c>
      <c r="K8" s="106">
        <v>240667</v>
      </c>
      <c r="L8" s="104">
        <v>13782</v>
      </c>
      <c r="M8" s="106">
        <v>78081262</v>
      </c>
      <c r="N8" s="104">
        <v>13866</v>
      </c>
      <c r="O8" s="116">
        <v>442</v>
      </c>
      <c r="P8" s="116">
        <v>58</v>
      </c>
      <c r="Q8" s="117">
        <v>14366</v>
      </c>
      <c r="R8" s="14" t="str">
        <f t="shared" si="0"/>
        <v>札幌北</v>
      </c>
    </row>
    <row r="9" spans="1:18" ht="18.75" customHeight="1">
      <c r="A9" s="11" t="s">
        <v>11</v>
      </c>
      <c r="B9" s="104">
        <f>_xlfn.COMPOUNDVALUE(249)</f>
        <v>6395</v>
      </c>
      <c r="C9" s="105">
        <v>34370015</v>
      </c>
      <c r="D9" s="104">
        <f>_xlfn.COMPOUNDVALUE(250)</f>
        <v>3562</v>
      </c>
      <c r="E9" s="105">
        <v>2204456</v>
      </c>
      <c r="F9" s="104">
        <f>_xlfn.COMPOUNDVALUE(251)</f>
        <v>9957</v>
      </c>
      <c r="G9" s="105">
        <v>36574472</v>
      </c>
      <c r="H9" s="104">
        <f>_xlfn.COMPOUNDVALUE(252)</f>
        <v>891</v>
      </c>
      <c r="I9" s="106">
        <v>2782005</v>
      </c>
      <c r="J9" s="104">
        <v>552</v>
      </c>
      <c r="K9" s="106">
        <v>179791</v>
      </c>
      <c r="L9" s="104">
        <v>11058</v>
      </c>
      <c r="M9" s="106">
        <v>33972257</v>
      </c>
      <c r="N9" s="104">
        <v>11042</v>
      </c>
      <c r="O9" s="116">
        <v>430</v>
      </c>
      <c r="P9" s="116">
        <v>29</v>
      </c>
      <c r="Q9" s="117">
        <v>11501</v>
      </c>
      <c r="R9" s="14" t="str">
        <f t="shared" si="0"/>
        <v>札幌南</v>
      </c>
    </row>
    <row r="10" spans="1:18" ht="18.75" customHeight="1">
      <c r="A10" s="11" t="s">
        <v>12</v>
      </c>
      <c r="B10" s="104">
        <f>_xlfn.COMPOUNDVALUE(253)</f>
        <v>6920</v>
      </c>
      <c r="C10" s="105">
        <v>50121863</v>
      </c>
      <c r="D10" s="104">
        <f>_xlfn.COMPOUNDVALUE(254)</f>
        <v>3496</v>
      </c>
      <c r="E10" s="105">
        <v>2387295</v>
      </c>
      <c r="F10" s="104">
        <f>_xlfn.COMPOUNDVALUE(255)</f>
        <v>10416</v>
      </c>
      <c r="G10" s="105">
        <v>52509158</v>
      </c>
      <c r="H10" s="104">
        <f>_xlfn.COMPOUNDVALUE(256)</f>
        <v>1025</v>
      </c>
      <c r="I10" s="106">
        <v>5656555</v>
      </c>
      <c r="J10" s="104">
        <v>631</v>
      </c>
      <c r="K10" s="106">
        <v>149164</v>
      </c>
      <c r="L10" s="104">
        <v>11646</v>
      </c>
      <c r="M10" s="106">
        <v>47001767</v>
      </c>
      <c r="N10" s="104">
        <v>11660</v>
      </c>
      <c r="O10" s="116">
        <v>533</v>
      </c>
      <c r="P10" s="116">
        <v>51</v>
      </c>
      <c r="Q10" s="117">
        <v>12244</v>
      </c>
      <c r="R10" s="14" t="str">
        <f t="shared" si="0"/>
        <v>札幌西</v>
      </c>
    </row>
    <row r="11" spans="1:18" ht="18.75" customHeight="1">
      <c r="A11" s="11" t="s">
        <v>13</v>
      </c>
      <c r="B11" s="104">
        <f>_xlfn.COMPOUNDVALUE(257)</f>
        <v>5213</v>
      </c>
      <c r="C11" s="105">
        <v>40175248</v>
      </c>
      <c r="D11" s="104">
        <f>_xlfn.COMPOUNDVALUE(258)</f>
        <v>2570</v>
      </c>
      <c r="E11" s="105">
        <v>1611352</v>
      </c>
      <c r="F11" s="104">
        <f>_xlfn.COMPOUNDVALUE(259)</f>
        <v>7783</v>
      </c>
      <c r="G11" s="105">
        <v>41786600</v>
      </c>
      <c r="H11" s="104">
        <f>_xlfn.COMPOUNDVALUE(260)</f>
        <v>477</v>
      </c>
      <c r="I11" s="106">
        <v>2510932</v>
      </c>
      <c r="J11" s="104">
        <v>427</v>
      </c>
      <c r="K11" s="106">
        <v>269601</v>
      </c>
      <c r="L11" s="104">
        <v>8378</v>
      </c>
      <c r="M11" s="106">
        <v>39545269</v>
      </c>
      <c r="N11" s="104">
        <v>8432</v>
      </c>
      <c r="O11" s="116">
        <v>225</v>
      </c>
      <c r="P11" s="116">
        <v>32</v>
      </c>
      <c r="Q11" s="117">
        <v>8689</v>
      </c>
      <c r="R11" s="14" t="str">
        <f t="shared" si="0"/>
        <v>札幌東</v>
      </c>
    </row>
    <row r="12" spans="1:18" ht="18.75" customHeight="1">
      <c r="A12" s="11" t="s">
        <v>92</v>
      </c>
      <c r="B12" s="104">
        <f>_xlfn.COMPOUNDVALUE(261)</f>
        <v>4280</v>
      </c>
      <c r="C12" s="105">
        <v>20822575</v>
      </c>
      <c r="D12" s="104">
        <f>_xlfn.COMPOUNDVALUE(262)</f>
        <v>3567</v>
      </c>
      <c r="E12" s="105">
        <v>1733949</v>
      </c>
      <c r="F12" s="104">
        <f>_xlfn.COMPOUNDVALUE(263)</f>
        <v>7847</v>
      </c>
      <c r="G12" s="105">
        <v>22556524</v>
      </c>
      <c r="H12" s="104">
        <f>_xlfn.COMPOUNDVALUE(264)</f>
        <v>383</v>
      </c>
      <c r="I12" s="106">
        <v>1142862</v>
      </c>
      <c r="J12" s="104">
        <v>312</v>
      </c>
      <c r="K12" s="106">
        <v>91086</v>
      </c>
      <c r="L12" s="104">
        <v>8342</v>
      </c>
      <c r="M12" s="106">
        <v>21504748</v>
      </c>
      <c r="N12" s="104">
        <v>7877</v>
      </c>
      <c r="O12" s="116">
        <v>164</v>
      </c>
      <c r="P12" s="116">
        <v>13</v>
      </c>
      <c r="Q12" s="117">
        <v>8054</v>
      </c>
      <c r="R12" s="14" t="str">
        <f t="shared" si="0"/>
        <v>函館</v>
      </c>
    </row>
    <row r="13" spans="1:18" ht="18.75" customHeight="1">
      <c r="A13" s="11" t="s">
        <v>14</v>
      </c>
      <c r="B13" s="104">
        <f>_xlfn.COMPOUNDVALUE(265)</f>
        <v>1365</v>
      </c>
      <c r="C13" s="105">
        <v>8526638</v>
      </c>
      <c r="D13" s="104">
        <f>_xlfn.COMPOUNDVALUE(266)</f>
        <v>791</v>
      </c>
      <c r="E13" s="105">
        <v>438071</v>
      </c>
      <c r="F13" s="104">
        <f>_xlfn.COMPOUNDVALUE(267)</f>
        <v>2156</v>
      </c>
      <c r="G13" s="105">
        <v>8964709</v>
      </c>
      <c r="H13" s="104">
        <f>_xlfn.COMPOUNDVALUE(268)</f>
        <v>283</v>
      </c>
      <c r="I13" s="106">
        <v>644018</v>
      </c>
      <c r="J13" s="104">
        <v>105</v>
      </c>
      <c r="K13" s="106">
        <v>1983</v>
      </c>
      <c r="L13" s="104">
        <v>2494</v>
      </c>
      <c r="M13" s="106">
        <v>8322674</v>
      </c>
      <c r="N13" s="104">
        <v>2229</v>
      </c>
      <c r="O13" s="116">
        <v>86</v>
      </c>
      <c r="P13" s="116">
        <v>4</v>
      </c>
      <c r="Q13" s="117">
        <v>2319</v>
      </c>
      <c r="R13" s="14" t="str">
        <f t="shared" si="0"/>
        <v>小樽</v>
      </c>
    </row>
    <row r="14" spans="1:18" ht="18.75" customHeight="1">
      <c r="A14" s="11" t="s">
        <v>15</v>
      </c>
      <c r="B14" s="104">
        <f>_xlfn.COMPOUNDVALUE(269)</f>
        <v>1610</v>
      </c>
      <c r="C14" s="105">
        <v>8828399</v>
      </c>
      <c r="D14" s="104">
        <f>_xlfn.COMPOUNDVALUE(270)</f>
        <v>1188</v>
      </c>
      <c r="E14" s="105">
        <v>660081</v>
      </c>
      <c r="F14" s="104">
        <f>_xlfn.COMPOUNDVALUE(271)</f>
        <v>2798</v>
      </c>
      <c r="G14" s="105">
        <v>9488480</v>
      </c>
      <c r="H14" s="104">
        <f>_xlfn.COMPOUNDVALUE(272)</f>
        <v>193</v>
      </c>
      <c r="I14" s="106">
        <v>614372</v>
      </c>
      <c r="J14" s="104">
        <v>142</v>
      </c>
      <c r="K14" s="106">
        <v>61071</v>
      </c>
      <c r="L14" s="104">
        <v>3062</v>
      </c>
      <c r="M14" s="106">
        <v>8935179</v>
      </c>
      <c r="N14" s="104">
        <v>2991</v>
      </c>
      <c r="O14" s="116">
        <v>92</v>
      </c>
      <c r="P14" s="116">
        <v>5</v>
      </c>
      <c r="Q14" s="117">
        <v>3088</v>
      </c>
      <c r="R14" s="14" t="str">
        <f t="shared" si="0"/>
        <v>旭川中</v>
      </c>
    </row>
    <row r="15" spans="1:18" ht="18.75" customHeight="1">
      <c r="A15" s="11" t="s">
        <v>16</v>
      </c>
      <c r="B15" s="104">
        <f>_xlfn.COMPOUNDVALUE(273)</f>
        <v>3109</v>
      </c>
      <c r="C15" s="105">
        <v>14901379</v>
      </c>
      <c r="D15" s="104">
        <f>_xlfn.COMPOUNDVALUE(274)</f>
        <v>2367</v>
      </c>
      <c r="E15" s="105">
        <v>1173418</v>
      </c>
      <c r="F15" s="104">
        <f>_xlfn.COMPOUNDVALUE(275)</f>
        <v>5476</v>
      </c>
      <c r="G15" s="105">
        <v>16074798</v>
      </c>
      <c r="H15" s="104">
        <f>_xlfn.COMPOUNDVALUE(276)</f>
        <v>441</v>
      </c>
      <c r="I15" s="106">
        <v>1078310</v>
      </c>
      <c r="J15" s="104">
        <v>325</v>
      </c>
      <c r="K15" s="106">
        <v>74513</v>
      </c>
      <c r="L15" s="104">
        <v>6056</v>
      </c>
      <c r="M15" s="106">
        <v>15071001</v>
      </c>
      <c r="N15" s="104">
        <v>5894</v>
      </c>
      <c r="O15" s="116">
        <v>169</v>
      </c>
      <c r="P15" s="116">
        <v>16</v>
      </c>
      <c r="Q15" s="117">
        <v>6079</v>
      </c>
      <c r="R15" s="14" t="str">
        <f t="shared" si="0"/>
        <v>旭川東</v>
      </c>
    </row>
    <row r="16" spans="1:18" ht="18.75" customHeight="1">
      <c r="A16" s="11" t="s">
        <v>17</v>
      </c>
      <c r="B16" s="104">
        <f>_xlfn.COMPOUNDVALUE(277)</f>
        <v>1880</v>
      </c>
      <c r="C16" s="105">
        <v>11033870</v>
      </c>
      <c r="D16" s="104">
        <f>_xlfn.COMPOUNDVALUE(278)</f>
        <v>1560</v>
      </c>
      <c r="E16" s="105">
        <v>821475</v>
      </c>
      <c r="F16" s="104">
        <f>_xlfn.COMPOUNDVALUE(279)</f>
        <v>3440</v>
      </c>
      <c r="G16" s="105">
        <v>11855345</v>
      </c>
      <c r="H16" s="104">
        <f>_xlfn.COMPOUNDVALUE(280)</f>
        <v>175</v>
      </c>
      <c r="I16" s="106">
        <v>1639066</v>
      </c>
      <c r="J16" s="104">
        <v>160</v>
      </c>
      <c r="K16" s="106">
        <v>26629</v>
      </c>
      <c r="L16" s="104">
        <v>3667</v>
      </c>
      <c r="M16" s="106">
        <v>10242908</v>
      </c>
      <c r="N16" s="104">
        <v>3499</v>
      </c>
      <c r="O16" s="116">
        <v>94</v>
      </c>
      <c r="P16" s="116">
        <v>8</v>
      </c>
      <c r="Q16" s="117">
        <v>3601</v>
      </c>
      <c r="R16" s="14" t="str">
        <f t="shared" si="0"/>
        <v>室蘭</v>
      </c>
    </row>
    <row r="17" spans="1:18" ht="18.75" customHeight="1">
      <c r="A17" s="11" t="s">
        <v>18</v>
      </c>
      <c r="B17" s="104">
        <f>_xlfn.COMPOUNDVALUE(281)</f>
        <v>3242</v>
      </c>
      <c r="C17" s="105">
        <v>16036705</v>
      </c>
      <c r="D17" s="104">
        <f>_xlfn.COMPOUNDVALUE(282)</f>
        <v>2094</v>
      </c>
      <c r="E17" s="105">
        <v>1100141</v>
      </c>
      <c r="F17" s="104">
        <f>_xlfn.COMPOUNDVALUE(283)</f>
        <v>5336</v>
      </c>
      <c r="G17" s="105">
        <v>17136847</v>
      </c>
      <c r="H17" s="104">
        <f>_xlfn.COMPOUNDVALUE(284)</f>
        <v>581</v>
      </c>
      <c r="I17" s="106">
        <v>1639054</v>
      </c>
      <c r="J17" s="104">
        <v>301</v>
      </c>
      <c r="K17" s="106">
        <v>68765</v>
      </c>
      <c r="L17" s="104">
        <v>6015</v>
      </c>
      <c r="M17" s="106">
        <v>15566557</v>
      </c>
      <c r="N17" s="104">
        <v>5627</v>
      </c>
      <c r="O17" s="116">
        <v>249</v>
      </c>
      <c r="P17" s="116">
        <v>4</v>
      </c>
      <c r="Q17" s="117">
        <v>5880</v>
      </c>
      <c r="R17" s="14" t="str">
        <f t="shared" si="0"/>
        <v>釧路</v>
      </c>
    </row>
    <row r="18" spans="1:18" ht="18.75" customHeight="1">
      <c r="A18" s="11" t="s">
        <v>19</v>
      </c>
      <c r="B18" s="104">
        <f>_xlfn.COMPOUNDVALUE(285)</f>
        <v>5397</v>
      </c>
      <c r="C18" s="105">
        <v>27990808</v>
      </c>
      <c r="D18" s="104">
        <f>_xlfn.COMPOUNDVALUE(286)</f>
        <v>2972</v>
      </c>
      <c r="E18" s="105">
        <v>1726493</v>
      </c>
      <c r="F18" s="104">
        <f>_xlfn.COMPOUNDVALUE(287)</f>
        <v>8369</v>
      </c>
      <c r="G18" s="105">
        <v>29717301</v>
      </c>
      <c r="H18" s="104">
        <f>_xlfn.COMPOUNDVALUE(288)</f>
        <v>2187</v>
      </c>
      <c r="I18" s="106">
        <v>4825763</v>
      </c>
      <c r="J18" s="104">
        <v>451</v>
      </c>
      <c r="K18" s="106">
        <v>46719</v>
      </c>
      <c r="L18" s="104">
        <v>10684</v>
      </c>
      <c r="M18" s="106">
        <v>24938257</v>
      </c>
      <c r="N18" s="104">
        <v>9950</v>
      </c>
      <c r="O18" s="116">
        <v>576</v>
      </c>
      <c r="P18" s="116">
        <v>22</v>
      </c>
      <c r="Q18" s="117">
        <v>10548</v>
      </c>
      <c r="R18" s="14" t="str">
        <f t="shared" si="0"/>
        <v>帯広</v>
      </c>
    </row>
    <row r="19" spans="1:18" ht="18.75" customHeight="1">
      <c r="A19" s="11" t="s">
        <v>20</v>
      </c>
      <c r="B19" s="104">
        <f>_xlfn.COMPOUNDVALUE(289)</f>
        <v>2034</v>
      </c>
      <c r="C19" s="105">
        <v>9517238</v>
      </c>
      <c r="D19" s="104">
        <f>_xlfn.COMPOUNDVALUE(290)</f>
        <v>1435</v>
      </c>
      <c r="E19" s="105">
        <v>800065</v>
      </c>
      <c r="F19" s="104">
        <f>_xlfn.COMPOUNDVALUE(291)</f>
        <v>3469</v>
      </c>
      <c r="G19" s="105">
        <v>10317303</v>
      </c>
      <c r="H19" s="104">
        <f>_xlfn.COMPOUNDVALUE(292)</f>
        <v>500</v>
      </c>
      <c r="I19" s="106">
        <v>454692</v>
      </c>
      <c r="J19" s="104">
        <v>244</v>
      </c>
      <c r="K19" s="106">
        <v>114043</v>
      </c>
      <c r="L19" s="104">
        <v>4030</v>
      </c>
      <c r="M19" s="106">
        <v>9976653</v>
      </c>
      <c r="N19" s="104">
        <v>3917</v>
      </c>
      <c r="O19" s="116">
        <v>118</v>
      </c>
      <c r="P19" s="116">
        <v>5</v>
      </c>
      <c r="Q19" s="117">
        <v>4040</v>
      </c>
      <c r="R19" s="14" t="str">
        <f t="shared" si="0"/>
        <v>北見</v>
      </c>
    </row>
    <row r="20" spans="1:18" ht="18.75" customHeight="1">
      <c r="A20" s="11" t="s">
        <v>21</v>
      </c>
      <c r="B20" s="104">
        <f>_xlfn.COMPOUNDVALUE(293)</f>
        <v>1745</v>
      </c>
      <c r="C20" s="105">
        <v>7693623</v>
      </c>
      <c r="D20" s="104">
        <f>_xlfn.COMPOUNDVALUE(294)</f>
        <v>2335</v>
      </c>
      <c r="E20" s="105">
        <v>945255</v>
      </c>
      <c r="F20" s="104">
        <f>_xlfn.COMPOUNDVALUE(295)</f>
        <v>4080</v>
      </c>
      <c r="G20" s="105">
        <v>8638877</v>
      </c>
      <c r="H20" s="104">
        <f>_xlfn.COMPOUNDVALUE(296)</f>
        <v>601</v>
      </c>
      <c r="I20" s="106">
        <v>993431</v>
      </c>
      <c r="J20" s="104">
        <v>264</v>
      </c>
      <c r="K20" s="106">
        <v>-47280</v>
      </c>
      <c r="L20" s="104">
        <v>4749</v>
      </c>
      <c r="M20" s="106">
        <v>7598166</v>
      </c>
      <c r="N20" s="104">
        <v>4408</v>
      </c>
      <c r="O20" s="116">
        <v>301</v>
      </c>
      <c r="P20" s="116">
        <v>11</v>
      </c>
      <c r="Q20" s="117">
        <v>4720</v>
      </c>
      <c r="R20" s="14" t="str">
        <f t="shared" si="0"/>
        <v>岩見沢</v>
      </c>
    </row>
    <row r="21" spans="1:18" ht="18.75" customHeight="1">
      <c r="A21" s="11" t="s">
        <v>22</v>
      </c>
      <c r="B21" s="104">
        <f>_xlfn.COMPOUNDVALUE(297)</f>
        <v>1366</v>
      </c>
      <c r="C21" s="105">
        <v>6302244</v>
      </c>
      <c r="D21" s="104">
        <f>_xlfn.COMPOUNDVALUE(298)</f>
        <v>1258</v>
      </c>
      <c r="E21" s="105">
        <v>612253</v>
      </c>
      <c r="F21" s="104">
        <f>_xlfn.COMPOUNDVALUE(299)</f>
        <v>2624</v>
      </c>
      <c r="G21" s="105">
        <v>6914497</v>
      </c>
      <c r="H21" s="104">
        <f>_xlfn.COMPOUNDVALUE(300)</f>
        <v>1213</v>
      </c>
      <c r="I21" s="106">
        <v>1590032</v>
      </c>
      <c r="J21" s="104">
        <v>136</v>
      </c>
      <c r="K21" s="106">
        <v>25951</v>
      </c>
      <c r="L21" s="104">
        <v>3867</v>
      </c>
      <c r="M21" s="106">
        <v>5350416</v>
      </c>
      <c r="N21" s="104">
        <v>3947</v>
      </c>
      <c r="O21" s="116">
        <v>151</v>
      </c>
      <c r="P21" s="116">
        <v>6</v>
      </c>
      <c r="Q21" s="117">
        <v>4104</v>
      </c>
      <c r="R21" s="14" t="str">
        <f t="shared" si="0"/>
        <v>網走</v>
      </c>
    </row>
    <row r="22" spans="1:18" ht="18.75" customHeight="1">
      <c r="A22" s="11" t="s">
        <v>23</v>
      </c>
      <c r="B22" s="104">
        <f>_xlfn.COMPOUNDVALUE(301)</f>
        <v>549</v>
      </c>
      <c r="C22" s="105">
        <v>2390754</v>
      </c>
      <c r="D22" s="104">
        <f>_xlfn.COMPOUNDVALUE(302)</f>
        <v>609</v>
      </c>
      <c r="E22" s="105">
        <v>245997</v>
      </c>
      <c r="F22" s="104">
        <f>_xlfn.COMPOUNDVALUE(303)</f>
        <v>1158</v>
      </c>
      <c r="G22" s="105">
        <v>2636751</v>
      </c>
      <c r="H22" s="104">
        <f>_xlfn.COMPOUNDVALUE(304)</f>
        <v>92</v>
      </c>
      <c r="I22" s="106">
        <v>543468</v>
      </c>
      <c r="J22" s="104">
        <v>65</v>
      </c>
      <c r="K22" s="106">
        <v>1270</v>
      </c>
      <c r="L22" s="104">
        <v>1264</v>
      </c>
      <c r="M22" s="106">
        <v>2094552</v>
      </c>
      <c r="N22" s="104">
        <v>1197</v>
      </c>
      <c r="O22" s="116">
        <v>40</v>
      </c>
      <c r="P22" s="116">
        <v>2</v>
      </c>
      <c r="Q22" s="117">
        <v>1239</v>
      </c>
      <c r="R22" s="14" t="str">
        <f t="shared" si="0"/>
        <v>留萌</v>
      </c>
    </row>
    <row r="23" spans="1:18" ht="18.75" customHeight="1">
      <c r="A23" s="11" t="s">
        <v>24</v>
      </c>
      <c r="B23" s="104">
        <f>_xlfn.COMPOUNDVALUE(305)</f>
        <v>3007</v>
      </c>
      <c r="C23" s="105">
        <v>23922238</v>
      </c>
      <c r="D23" s="104">
        <f>_xlfn.COMPOUNDVALUE(306)</f>
        <v>2013</v>
      </c>
      <c r="E23" s="105">
        <v>1085784</v>
      </c>
      <c r="F23" s="104">
        <f>_xlfn.COMPOUNDVALUE(307)</f>
        <v>5020</v>
      </c>
      <c r="G23" s="105">
        <v>25008022</v>
      </c>
      <c r="H23" s="104">
        <f>_xlfn.COMPOUNDVALUE(308)</f>
        <v>370</v>
      </c>
      <c r="I23" s="106">
        <v>2260815</v>
      </c>
      <c r="J23" s="104">
        <v>275</v>
      </c>
      <c r="K23" s="106">
        <v>24384</v>
      </c>
      <c r="L23" s="104">
        <v>5475</v>
      </c>
      <c r="M23" s="106">
        <v>22771591</v>
      </c>
      <c r="N23" s="104">
        <v>5305</v>
      </c>
      <c r="O23" s="116">
        <v>195</v>
      </c>
      <c r="P23" s="116">
        <v>10</v>
      </c>
      <c r="Q23" s="117">
        <v>5510</v>
      </c>
      <c r="R23" s="14" t="str">
        <f t="shared" si="0"/>
        <v>苫小牧</v>
      </c>
    </row>
    <row r="24" spans="1:18" ht="18.75" customHeight="1">
      <c r="A24" s="13" t="s">
        <v>25</v>
      </c>
      <c r="B24" s="107">
        <f>_xlfn.COMPOUNDVALUE(309)</f>
        <v>1516</v>
      </c>
      <c r="C24" s="108">
        <v>6168464</v>
      </c>
      <c r="D24" s="107">
        <f>_xlfn.COMPOUNDVALUE(310)</f>
        <v>1430</v>
      </c>
      <c r="E24" s="108">
        <v>692498</v>
      </c>
      <c r="F24" s="107">
        <f>_xlfn.COMPOUNDVALUE(311)</f>
        <v>2946</v>
      </c>
      <c r="G24" s="108">
        <v>6860963</v>
      </c>
      <c r="H24" s="107">
        <f>_xlfn.COMPOUNDVALUE(312)</f>
        <v>416</v>
      </c>
      <c r="I24" s="109">
        <v>871207</v>
      </c>
      <c r="J24" s="107">
        <v>126</v>
      </c>
      <c r="K24" s="109">
        <v>28520</v>
      </c>
      <c r="L24" s="107">
        <v>3392</v>
      </c>
      <c r="M24" s="109">
        <v>6018276</v>
      </c>
      <c r="N24" s="104">
        <v>3199</v>
      </c>
      <c r="O24" s="116">
        <v>149</v>
      </c>
      <c r="P24" s="116">
        <v>1</v>
      </c>
      <c r="Q24" s="117">
        <v>3349</v>
      </c>
      <c r="R24" s="14" t="str">
        <f t="shared" si="0"/>
        <v>稚内</v>
      </c>
    </row>
    <row r="25" spans="1:18" ht="18.75" customHeight="1">
      <c r="A25" s="13" t="s">
        <v>26</v>
      </c>
      <c r="B25" s="107">
        <f>_xlfn.COMPOUNDVALUE(313)</f>
        <v>1129</v>
      </c>
      <c r="C25" s="108">
        <v>4984157</v>
      </c>
      <c r="D25" s="107">
        <f>_xlfn.COMPOUNDVALUE(314)</f>
        <v>902</v>
      </c>
      <c r="E25" s="108">
        <v>520623</v>
      </c>
      <c r="F25" s="107">
        <f>_xlfn.COMPOUNDVALUE(315)</f>
        <v>2031</v>
      </c>
      <c r="G25" s="108">
        <v>5504780</v>
      </c>
      <c r="H25" s="107">
        <f>_xlfn.COMPOUNDVALUE(316)</f>
        <v>306</v>
      </c>
      <c r="I25" s="109">
        <v>1179169</v>
      </c>
      <c r="J25" s="107">
        <v>196</v>
      </c>
      <c r="K25" s="109">
        <v>88374</v>
      </c>
      <c r="L25" s="107">
        <v>2360</v>
      </c>
      <c r="M25" s="109">
        <v>4413985</v>
      </c>
      <c r="N25" s="104">
        <v>2177</v>
      </c>
      <c r="O25" s="116">
        <v>151</v>
      </c>
      <c r="P25" s="116">
        <v>4</v>
      </c>
      <c r="Q25" s="117">
        <v>2332</v>
      </c>
      <c r="R25" s="14" t="str">
        <f t="shared" si="0"/>
        <v>紋別</v>
      </c>
    </row>
    <row r="26" spans="1:18" ht="18.75" customHeight="1">
      <c r="A26" s="13" t="s">
        <v>27</v>
      </c>
      <c r="B26" s="107">
        <f>_xlfn.COMPOUNDVALUE(317)</f>
        <v>821</v>
      </c>
      <c r="C26" s="108">
        <v>3307110</v>
      </c>
      <c r="D26" s="107">
        <f>_xlfn.COMPOUNDVALUE(318)</f>
        <v>862</v>
      </c>
      <c r="E26" s="108">
        <v>339685</v>
      </c>
      <c r="F26" s="107">
        <f>_xlfn.COMPOUNDVALUE(319)</f>
        <v>1683</v>
      </c>
      <c r="G26" s="108">
        <v>3646795</v>
      </c>
      <c r="H26" s="107">
        <f>_xlfn.COMPOUNDVALUE(320)</f>
        <v>434</v>
      </c>
      <c r="I26" s="109">
        <v>748331</v>
      </c>
      <c r="J26" s="107">
        <v>78</v>
      </c>
      <c r="K26" s="109">
        <v>-6290</v>
      </c>
      <c r="L26" s="107">
        <v>2152</v>
      </c>
      <c r="M26" s="109">
        <v>2892174</v>
      </c>
      <c r="N26" s="104">
        <v>2042</v>
      </c>
      <c r="O26" s="116">
        <v>130</v>
      </c>
      <c r="P26" s="116">
        <v>5</v>
      </c>
      <c r="Q26" s="117">
        <v>2177</v>
      </c>
      <c r="R26" s="14" t="str">
        <f t="shared" si="0"/>
        <v>名寄</v>
      </c>
    </row>
    <row r="27" spans="1:18" ht="18.75" customHeight="1">
      <c r="A27" s="13" t="s">
        <v>28</v>
      </c>
      <c r="B27" s="107">
        <f>_xlfn.COMPOUNDVALUE(321)</f>
        <v>1788</v>
      </c>
      <c r="C27" s="108">
        <v>6449385</v>
      </c>
      <c r="D27" s="107">
        <f>_xlfn.COMPOUNDVALUE(322)</f>
        <v>1700</v>
      </c>
      <c r="E27" s="108">
        <v>674113</v>
      </c>
      <c r="F27" s="107">
        <f>_xlfn.COMPOUNDVALUE(323)</f>
        <v>3488</v>
      </c>
      <c r="G27" s="108">
        <v>7123498</v>
      </c>
      <c r="H27" s="107">
        <f>_xlfn.COMPOUNDVALUE(324)</f>
        <v>712</v>
      </c>
      <c r="I27" s="109">
        <v>1629229</v>
      </c>
      <c r="J27" s="107">
        <v>178</v>
      </c>
      <c r="K27" s="109">
        <v>17990</v>
      </c>
      <c r="L27" s="107">
        <v>4242</v>
      </c>
      <c r="M27" s="109">
        <v>5512258</v>
      </c>
      <c r="N27" s="104">
        <v>3860</v>
      </c>
      <c r="O27" s="116">
        <v>275</v>
      </c>
      <c r="P27" s="116">
        <v>5</v>
      </c>
      <c r="Q27" s="117">
        <v>4140</v>
      </c>
      <c r="R27" s="14" t="str">
        <f t="shared" si="0"/>
        <v>根室</v>
      </c>
    </row>
    <row r="28" spans="1:18" ht="18.75" customHeight="1">
      <c r="A28" s="13" t="s">
        <v>29</v>
      </c>
      <c r="B28" s="107">
        <f>_xlfn.COMPOUNDVALUE(325)</f>
        <v>986</v>
      </c>
      <c r="C28" s="108">
        <v>7025119</v>
      </c>
      <c r="D28" s="107">
        <f>_xlfn.COMPOUNDVALUE(326)</f>
        <v>1133</v>
      </c>
      <c r="E28" s="108">
        <v>482832</v>
      </c>
      <c r="F28" s="107">
        <f>_xlfn.COMPOUNDVALUE(327)</f>
        <v>2119</v>
      </c>
      <c r="G28" s="108">
        <v>7507951</v>
      </c>
      <c r="H28" s="107">
        <f>_xlfn.COMPOUNDVALUE(328)</f>
        <v>85</v>
      </c>
      <c r="I28" s="109">
        <v>143421</v>
      </c>
      <c r="J28" s="107">
        <v>73</v>
      </c>
      <c r="K28" s="109">
        <v>2678</v>
      </c>
      <c r="L28" s="107">
        <v>2228</v>
      </c>
      <c r="M28" s="109">
        <v>7367208</v>
      </c>
      <c r="N28" s="104">
        <v>2196</v>
      </c>
      <c r="O28" s="116">
        <v>49</v>
      </c>
      <c r="P28" s="116">
        <v>4</v>
      </c>
      <c r="Q28" s="117">
        <v>2249</v>
      </c>
      <c r="R28" s="14" t="str">
        <f t="shared" si="0"/>
        <v>滝川</v>
      </c>
    </row>
    <row r="29" spans="1:18" ht="18.75" customHeight="1">
      <c r="A29" s="13" t="s">
        <v>30</v>
      </c>
      <c r="B29" s="107">
        <f>_xlfn.COMPOUNDVALUE(329)</f>
        <v>459</v>
      </c>
      <c r="C29" s="108">
        <v>1838149</v>
      </c>
      <c r="D29" s="107">
        <f>_xlfn.COMPOUNDVALUE(330)</f>
        <v>1060</v>
      </c>
      <c r="E29" s="108">
        <v>344602</v>
      </c>
      <c r="F29" s="107">
        <f>_xlfn.COMPOUNDVALUE(331)</f>
        <v>1519</v>
      </c>
      <c r="G29" s="108">
        <v>2182751</v>
      </c>
      <c r="H29" s="107">
        <f>_xlfn.COMPOUNDVALUE(332)</f>
        <v>99</v>
      </c>
      <c r="I29" s="109">
        <v>109735</v>
      </c>
      <c r="J29" s="107">
        <v>47</v>
      </c>
      <c r="K29" s="109">
        <v>-2792</v>
      </c>
      <c r="L29" s="107">
        <v>1631</v>
      </c>
      <c r="M29" s="109">
        <v>2070225</v>
      </c>
      <c r="N29" s="104">
        <v>1557</v>
      </c>
      <c r="O29" s="116">
        <v>38</v>
      </c>
      <c r="P29" s="116">
        <v>3</v>
      </c>
      <c r="Q29" s="117">
        <v>1598</v>
      </c>
      <c r="R29" s="14" t="str">
        <f t="shared" si="0"/>
        <v>深川</v>
      </c>
    </row>
    <row r="30" spans="1:18" ht="18.75" customHeight="1">
      <c r="A30" s="13" t="s">
        <v>31</v>
      </c>
      <c r="B30" s="107">
        <f>_xlfn.COMPOUNDVALUE(333)</f>
        <v>461</v>
      </c>
      <c r="C30" s="108">
        <v>2040798</v>
      </c>
      <c r="D30" s="107">
        <f>_xlfn.COMPOUNDVALUE(334)</f>
        <v>746</v>
      </c>
      <c r="E30" s="108">
        <v>296401</v>
      </c>
      <c r="F30" s="107">
        <f>_xlfn.COMPOUNDVALUE(335)</f>
        <v>1207</v>
      </c>
      <c r="G30" s="108">
        <v>2337200</v>
      </c>
      <c r="H30" s="107">
        <f>_xlfn.COMPOUNDVALUE(336)</f>
        <v>307</v>
      </c>
      <c r="I30" s="109">
        <v>562450</v>
      </c>
      <c r="J30" s="107">
        <v>72</v>
      </c>
      <c r="K30" s="109">
        <v>34913</v>
      </c>
      <c r="L30" s="107">
        <v>1538</v>
      </c>
      <c r="M30" s="109">
        <v>1809663</v>
      </c>
      <c r="N30" s="104">
        <v>1361</v>
      </c>
      <c r="O30" s="116">
        <v>117</v>
      </c>
      <c r="P30" s="116">
        <v>3</v>
      </c>
      <c r="Q30" s="117">
        <v>1481</v>
      </c>
      <c r="R30" s="14" t="str">
        <f t="shared" si="0"/>
        <v>富良野</v>
      </c>
    </row>
    <row r="31" spans="1:18" ht="18.75" customHeight="1">
      <c r="A31" s="13" t="s">
        <v>32</v>
      </c>
      <c r="B31" s="107">
        <f>_xlfn.COMPOUNDVALUE(337)</f>
        <v>711</v>
      </c>
      <c r="C31" s="108">
        <v>2899223</v>
      </c>
      <c r="D31" s="107">
        <f>_xlfn.COMPOUNDVALUE(338)</f>
        <v>1109</v>
      </c>
      <c r="E31" s="108">
        <v>463506</v>
      </c>
      <c r="F31" s="107">
        <f>_xlfn.COMPOUNDVALUE(339)</f>
        <v>1820</v>
      </c>
      <c r="G31" s="108">
        <v>3362728</v>
      </c>
      <c r="H31" s="107">
        <f>_xlfn.COMPOUNDVALUE(340)</f>
        <v>119</v>
      </c>
      <c r="I31" s="109">
        <v>451348</v>
      </c>
      <c r="J31" s="107">
        <v>64</v>
      </c>
      <c r="K31" s="109">
        <v>15451</v>
      </c>
      <c r="L31" s="107">
        <v>1960</v>
      </c>
      <c r="M31" s="109">
        <v>2926832</v>
      </c>
      <c r="N31" s="104">
        <v>1963</v>
      </c>
      <c r="O31" s="116">
        <v>57</v>
      </c>
      <c r="P31" s="116">
        <v>4</v>
      </c>
      <c r="Q31" s="117">
        <v>2024</v>
      </c>
      <c r="R31" s="14" t="str">
        <f t="shared" si="0"/>
        <v>八雲</v>
      </c>
    </row>
    <row r="32" spans="1:18" ht="18.75" customHeight="1">
      <c r="A32" s="13" t="s">
        <v>33</v>
      </c>
      <c r="B32" s="107">
        <f>_xlfn.COMPOUNDVALUE(341)</f>
        <v>292</v>
      </c>
      <c r="C32" s="108">
        <v>1125841</v>
      </c>
      <c r="D32" s="107">
        <f>_xlfn.COMPOUNDVALUE(342)</f>
        <v>331</v>
      </c>
      <c r="E32" s="108">
        <v>146796</v>
      </c>
      <c r="F32" s="107">
        <f>_xlfn.COMPOUNDVALUE(343)</f>
        <v>623</v>
      </c>
      <c r="G32" s="108">
        <v>1272638</v>
      </c>
      <c r="H32" s="107">
        <f>_xlfn.COMPOUNDVALUE(344)</f>
        <v>46</v>
      </c>
      <c r="I32" s="109">
        <v>262519</v>
      </c>
      <c r="J32" s="107">
        <v>33</v>
      </c>
      <c r="K32" s="109">
        <v>-410</v>
      </c>
      <c r="L32" s="107">
        <v>678</v>
      </c>
      <c r="M32" s="109">
        <v>1009709</v>
      </c>
      <c r="N32" s="104">
        <v>720</v>
      </c>
      <c r="O32" s="116">
        <v>28</v>
      </c>
      <c r="P32" s="116" t="s">
        <v>111</v>
      </c>
      <c r="Q32" s="117">
        <v>748</v>
      </c>
      <c r="R32" s="14" t="str">
        <f t="shared" si="0"/>
        <v>江差</v>
      </c>
    </row>
    <row r="33" spans="1:18" ht="18.75" customHeight="1">
      <c r="A33" s="13" t="s">
        <v>34</v>
      </c>
      <c r="B33" s="107">
        <f>_xlfn.COMPOUNDVALUE(345)</f>
        <v>1120</v>
      </c>
      <c r="C33" s="108">
        <v>4094018</v>
      </c>
      <c r="D33" s="107">
        <f>_xlfn.COMPOUNDVALUE(346)</f>
        <v>1048</v>
      </c>
      <c r="E33" s="108">
        <v>469918</v>
      </c>
      <c r="F33" s="107">
        <f>_xlfn.COMPOUNDVALUE(347)</f>
        <v>2168</v>
      </c>
      <c r="G33" s="108">
        <v>4563936</v>
      </c>
      <c r="H33" s="107">
        <f>_xlfn.COMPOUNDVALUE(348)</f>
        <v>720</v>
      </c>
      <c r="I33" s="109">
        <v>1446053</v>
      </c>
      <c r="J33" s="107">
        <v>91</v>
      </c>
      <c r="K33" s="109">
        <v>1520</v>
      </c>
      <c r="L33" s="107">
        <v>2914</v>
      </c>
      <c r="M33" s="109">
        <v>3119404</v>
      </c>
      <c r="N33" s="104">
        <v>2401</v>
      </c>
      <c r="O33" s="116">
        <v>392</v>
      </c>
      <c r="P33" s="116">
        <v>11</v>
      </c>
      <c r="Q33" s="117">
        <v>2804</v>
      </c>
      <c r="R33" s="14" t="str">
        <f t="shared" si="0"/>
        <v>倶知安</v>
      </c>
    </row>
    <row r="34" spans="1:18" ht="18.75" customHeight="1">
      <c r="A34" s="13" t="s">
        <v>35</v>
      </c>
      <c r="B34" s="107">
        <f>_xlfn.COMPOUNDVALUE(349)</f>
        <v>354</v>
      </c>
      <c r="C34" s="108">
        <v>3970773</v>
      </c>
      <c r="D34" s="107">
        <f>_xlfn.COMPOUNDVALUE(350)</f>
        <v>523</v>
      </c>
      <c r="E34" s="108">
        <v>201677</v>
      </c>
      <c r="F34" s="107">
        <f>_xlfn.COMPOUNDVALUE(351)</f>
        <v>877</v>
      </c>
      <c r="G34" s="108">
        <v>4172450</v>
      </c>
      <c r="H34" s="107">
        <f>_xlfn.COMPOUNDVALUE(352)</f>
        <v>143</v>
      </c>
      <c r="I34" s="109">
        <v>83854</v>
      </c>
      <c r="J34" s="107">
        <v>74</v>
      </c>
      <c r="K34" s="109">
        <v>13364</v>
      </c>
      <c r="L34" s="107">
        <v>1038</v>
      </c>
      <c r="M34" s="109">
        <v>4101960</v>
      </c>
      <c r="N34" s="104">
        <v>901</v>
      </c>
      <c r="O34" s="116">
        <v>125</v>
      </c>
      <c r="P34" s="116">
        <v>1</v>
      </c>
      <c r="Q34" s="117">
        <v>1027</v>
      </c>
      <c r="R34" s="14" t="str">
        <f t="shared" si="0"/>
        <v>余市</v>
      </c>
    </row>
    <row r="35" spans="1:18" ht="18.75" customHeight="1">
      <c r="A35" s="13" t="s">
        <v>36</v>
      </c>
      <c r="B35" s="107">
        <f>_xlfn.COMPOUNDVALUE(353)</f>
        <v>945</v>
      </c>
      <c r="C35" s="108">
        <v>3718660</v>
      </c>
      <c r="D35" s="107">
        <f>_xlfn.COMPOUNDVALUE(354)</f>
        <v>847</v>
      </c>
      <c r="E35" s="108">
        <v>447777</v>
      </c>
      <c r="F35" s="107">
        <f>_xlfn.COMPOUNDVALUE(355)</f>
        <v>1792</v>
      </c>
      <c r="G35" s="108">
        <v>4166437</v>
      </c>
      <c r="H35" s="107">
        <f>_xlfn.COMPOUNDVALUE(356)</f>
        <v>164</v>
      </c>
      <c r="I35" s="109">
        <v>560823</v>
      </c>
      <c r="J35" s="107">
        <v>95</v>
      </c>
      <c r="K35" s="109">
        <v>-28086</v>
      </c>
      <c r="L35" s="107">
        <v>1989</v>
      </c>
      <c r="M35" s="109">
        <v>3577528</v>
      </c>
      <c r="N35" s="104">
        <v>1951</v>
      </c>
      <c r="O35" s="116">
        <v>68</v>
      </c>
      <c r="P35" s="116">
        <v>5</v>
      </c>
      <c r="Q35" s="117">
        <v>2024</v>
      </c>
      <c r="R35" s="14" t="str">
        <f t="shared" si="0"/>
        <v>浦河</v>
      </c>
    </row>
    <row r="36" spans="1:18" ht="18.75" customHeight="1" thickBot="1">
      <c r="A36" s="76" t="s">
        <v>37</v>
      </c>
      <c r="B36" s="110">
        <f>_xlfn.COMPOUNDVALUE(357)</f>
        <v>816</v>
      </c>
      <c r="C36" s="111">
        <v>2258536</v>
      </c>
      <c r="D36" s="110">
        <f>_xlfn.COMPOUNDVALUE(358)</f>
        <v>340</v>
      </c>
      <c r="E36" s="111">
        <v>163062</v>
      </c>
      <c r="F36" s="110">
        <f>_xlfn.COMPOUNDVALUE(359)</f>
        <v>1156</v>
      </c>
      <c r="G36" s="111">
        <v>2421598</v>
      </c>
      <c r="H36" s="110">
        <f>_xlfn.COMPOUNDVALUE(360)</f>
        <v>521</v>
      </c>
      <c r="I36" s="112">
        <v>763648</v>
      </c>
      <c r="J36" s="110">
        <v>46</v>
      </c>
      <c r="K36" s="112">
        <v>3400</v>
      </c>
      <c r="L36" s="110">
        <v>1693</v>
      </c>
      <c r="M36" s="112">
        <v>1661350</v>
      </c>
      <c r="N36" s="110">
        <v>1526</v>
      </c>
      <c r="O36" s="118">
        <v>144</v>
      </c>
      <c r="P36" s="118">
        <v>1</v>
      </c>
      <c r="Q36" s="119">
        <v>1671</v>
      </c>
      <c r="R36" s="74" t="str">
        <f t="shared" si="0"/>
        <v>十勝池田</v>
      </c>
    </row>
    <row r="37" spans="1:18" s="15" customFormat="1" ht="18.75" customHeight="1" thickBot="1" thickTop="1">
      <c r="A37" s="16" t="s">
        <v>43</v>
      </c>
      <c r="B37" s="113">
        <v>71369</v>
      </c>
      <c r="C37" s="114">
        <v>474194307</v>
      </c>
      <c r="D37" s="113">
        <v>49379</v>
      </c>
      <c r="E37" s="114">
        <v>26337192</v>
      </c>
      <c r="F37" s="113">
        <v>120748</v>
      </c>
      <c r="G37" s="114">
        <v>500531499</v>
      </c>
      <c r="H37" s="113">
        <v>15263</v>
      </c>
      <c r="I37" s="115">
        <v>43962781</v>
      </c>
      <c r="J37" s="113">
        <v>6417</v>
      </c>
      <c r="K37" s="115">
        <v>1705087</v>
      </c>
      <c r="L37" s="113">
        <v>138121</v>
      </c>
      <c r="M37" s="115">
        <v>458273805</v>
      </c>
      <c r="N37" s="113">
        <v>133309</v>
      </c>
      <c r="O37" s="120">
        <v>5852</v>
      </c>
      <c r="P37" s="120">
        <v>373</v>
      </c>
      <c r="Q37" s="121">
        <v>139534</v>
      </c>
      <c r="R37" s="17" t="str">
        <f t="shared" si="0"/>
        <v>合　　計</v>
      </c>
    </row>
    <row r="38" spans="1:18" s="33" customFormat="1" ht="3" customHeight="1">
      <c r="A38" s="29"/>
      <c r="B38" s="30"/>
      <c r="C38" s="30"/>
      <c r="D38" s="30"/>
      <c r="E38" s="30"/>
      <c r="F38" s="30"/>
      <c r="G38" s="30"/>
      <c r="H38" s="30"/>
      <c r="I38" s="30"/>
      <c r="J38" s="30"/>
      <c r="K38" s="30"/>
      <c r="L38" s="30"/>
      <c r="M38" s="30"/>
      <c r="N38" s="30"/>
      <c r="O38" s="30"/>
      <c r="P38" s="30"/>
      <c r="Q38" s="30"/>
      <c r="R38" s="29"/>
    </row>
    <row r="39" spans="1:17" ht="12.75">
      <c r="A39" s="166" t="s">
        <v>94</v>
      </c>
      <c r="B39" s="166"/>
      <c r="C39" s="166"/>
      <c r="D39" s="166"/>
      <c r="E39" s="166"/>
      <c r="F39" s="166"/>
      <c r="G39" s="166"/>
      <c r="H39" s="166"/>
      <c r="I39" s="166"/>
      <c r="J39" s="166"/>
      <c r="K39" s="166"/>
      <c r="L39" s="166"/>
      <c r="M39" s="166"/>
      <c r="N39" s="166"/>
      <c r="O39" s="166"/>
      <c r="P39" s="166"/>
      <c r="Q39" s="166"/>
    </row>
    <row r="40" spans="1:9" ht="12.75">
      <c r="A40" s="166"/>
      <c r="B40" s="166"/>
      <c r="C40" s="166"/>
      <c r="D40" s="166"/>
      <c r="E40" s="166"/>
      <c r="F40" s="166"/>
      <c r="G40" s="166"/>
      <c r="H40" s="166"/>
      <c r="I40" s="166"/>
    </row>
  </sheetData>
  <sheetProtection/>
  <mergeCells count="17">
    <mergeCell ref="A40:I40"/>
    <mergeCell ref="N3:Q3"/>
    <mergeCell ref="A2:I2"/>
    <mergeCell ref="A3:A5"/>
    <mergeCell ref="B3:G3"/>
    <mergeCell ref="H3:I4"/>
    <mergeCell ref="A39:Q39"/>
    <mergeCell ref="R3:R5"/>
    <mergeCell ref="B4:C4"/>
    <mergeCell ref="D4:E4"/>
    <mergeCell ref="F4:G4"/>
    <mergeCell ref="N4:N5"/>
    <mergeCell ref="O4:O5"/>
    <mergeCell ref="P4:P5"/>
    <mergeCell ref="Q4:Q5"/>
    <mergeCell ref="J3:K4"/>
    <mergeCell ref="L3:M4"/>
  </mergeCells>
  <printOptions horizontalCentered="1"/>
  <pageMargins left="0.7874015748031497" right="0.5511811023622047" top="0.5118110236220472" bottom="0.5905511811023623" header="0.5118110236220472" footer="0.31496062992125984"/>
  <pageSetup fitToHeight="0" horizontalDpi="600" verticalDpi="600" orientation="landscape" paperSize="9" scale="72" r:id="rId1"/>
  <headerFooter alignWithMargins="0">
    <oddFooter>&amp;R札幌国税局　
消費税
（R03）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2023-01-27T07:19:56Z</dcterms:created>
  <dcterms:modified xsi:type="dcterms:W3CDTF">2023-04-27T01:45:59Z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