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98"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 name="_xlnm.Print_Area" localSheetId="1">'7 (2)課税状況の累年比較'!$A$1:$H$14</definedName>
    <definedName name="_xlnm.Print_Area" localSheetId="2">'7 (3)課税事業者等届出件数'!$A$1:$E$7</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iterate="1" iterateCount="1" iterateDelta="0"/>
</workbook>
</file>

<file path=xl/sharedStrings.xml><?xml version="1.0" encoding="utf-8"?>
<sst xmlns="http://schemas.openxmlformats.org/spreadsheetml/2006/main" count="351" uniqueCount="113">
  <si>
    <t>　イ　個人事業者</t>
  </si>
  <si>
    <t>還付申告及び処理</t>
  </si>
  <si>
    <t>既往年分の
申告及び処理</t>
  </si>
  <si>
    <t>合　　　　　　計</t>
  </si>
  <si>
    <t>税務署名</t>
  </si>
  <si>
    <t>簡易申告及び処理</t>
  </si>
  <si>
    <t>小　　　　　　計</t>
  </si>
  <si>
    <t>件</t>
  </si>
  <si>
    <t>千円</t>
  </si>
  <si>
    <t>札幌中</t>
  </si>
  <si>
    <t>札幌北</t>
  </si>
  <si>
    <t>札幌南</t>
  </si>
  <si>
    <t>札幌西</t>
  </si>
  <si>
    <t>札幌東</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</si>
  <si>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</si>
  <si>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</si>
  <si>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</si>
  <si>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</si>
  <si>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</si>
  <si>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</si>
  <si>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</si>
  <si>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</si>
  <si>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</si>
  <si>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</si>
  <si>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</si>
  <si>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</si>
  <si>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</si>
  <si>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</si>
  <si>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</si>
  <si>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</si>
  <si>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</si>
  <si>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</si>
  <si>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</si>
  <si>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</si>
  <si>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</si>
  <si>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</si>
  <si>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</si>
  <si>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</si>
  <si>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　ロ　法　　　人</t>
  </si>
  <si>
    <t>税務署名</t>
  </si>
  <si>
    <t>　ハ　個人事業者と法人の合計</t>
  </si>
  <si>
    <t>課税事業者
届出</t>
  </si>
  <si>
    <t>合　　　計</t>
  </si>
  <si>
    <t>合　　計</t>
  </si>
  <si>
    <t>加算税</t>
  </si>
  <si>
    <t>実</t>
  </si>
  <si>
    <t>差引計</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</si>
  <si>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</si>
  <si>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</si>
  <si>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</si>
  <si>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</si>
  <si>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</si>
  <si>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</si>
  <si>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</si>
  <si>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</si>
  <si>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</si>
  <si>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</si>
  <si>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</si>
  <si>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</si>
  <si>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合　　　　　計</t>
  </si>
  <si>
    <t>法　　　　　人</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</si>
  <si>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</si>
  <si>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</si>
  <si>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</si>
  <si>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</si>
  <si>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</si>
  <si>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</si>
  <si>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</si>
  <si>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</si>
  <si>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</si>
  <si>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</si>
  <si>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</si>
  <si>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</si>
  <si>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</si>
  <si>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</si>
  <si>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税務署名</t>
  </si>
  <si>
    <t>一般申告及び処理</t>
  </si>
  <si>
    <t>件数</t>
  </si>
  <si>
    <t>税額</t>
  </si>
  <si>
    <t>税　額　①</t>
  </si>
  <si>
    <t>納　　　税　　　申　　　告　　　及　　　び　　　処　　　理</t>
  </si>
  <si>
    <t>税　額　②</t>
  </si>
  <si>
    <t>税　額　③</t>
  </si>
  <si>
    <t>税　　　額
(①－②＋③)</t>
  </si>
  <si>
    <t>函館</t>
  </si>
  <si>
    <t>札幌中</t>
  </si>
  <si>
    <t>税　　額
(①－②＋③)</t>
  </si>
  <si>
    <t>課　税　事　業　者　等　届　出　件　数</t>
  </si>
  <si>
    <t>課税事業者
選択届出</t>
  </si>
  <si>
    <t>新設法人に
該当する旨
の届出</t>
  </si>
  <si>
    <t xml:space="preserve">     （注） 納税義務者でなくなった旨の届出書又は課税事業者選択不適用届出書を提出した者は含まない。</t>
  </si>
  <si>
    <t>合               計</t>
  </si>
  <si>
    <t>平成25年度</t>
  </si>
  <si>
    <t>調査対象等：</t>
  </si>
  <si>
    <t>　　（注）　</t>
  </si>
  <si>
    <t>　１　税関分は含まない。</t>
  </si>
  <si>
    <t>　　　　　　</t>
  </si>
  <si>
    <t>件数</t>
  </si>
  <si>
    <t>税額</t>
  </si>
  <si>
    <t>函館</t>
  </si>
  <si>
    <t>平成24年度</t>
  </si>
  <si>
    <t>平成26年度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</si>
  <si>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</si>
  <si>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</si>
  <si>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 xml:space="preserve">  「現年分」は、平成28年４月１日から平成29年３月31日までに終了した課税期間について、平成29
年６月30日現在の申告（国・地方公共団体等については平成29年９月30日までの申告を含む。）及び
処理（更正、決定等）による課税事績を「申告書及び決議書」に基づいて作成した。</t>
  </si>
  <si>
    <t xml:space="preserve">  「既往年分」は、平成28年３月31日以前に終了した課税期間について、平成28年７月１日から平成
29年６月30日までの間の申告（平成28年７月１日から同年９月30日までの間の国・地方公共団体等に
係る申告を除く。）及び処理（更正、決定等）による課税事績を「申告書及び決議書」に基づいて作
成した。</t>
  </si>
  <si>
    <t>平成27年度</t>
  </si>
  <si>
    <t>平成28年度</t>
  </si>
  <si>
    <t>調査対象等：平成28年度末（平成29年３月31日現在）の届出件数を示している。</t>
  </si>
  <si>
    <t>実件</t>
  </si>
  <si>
    <t>(4)　税務署別課税状況等</t>
  </si>
  <si>
    <t>(4)　税務署別課税状況等（続）</t>
  </si>
  <si>
    <t>　２　「件数」欄の「実」は、実件数を示す。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</si>
</sst>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medium"/>
      <top/>
      <bottom style="medium"/>
    </border>
    <border>
      <left style="hair"/>
      <right style="thin"/>
      <top style="hair"/>
      <bottom style="thin"/>
    </border>
    <border>
      <left style="hair"/>
      <right style="hair"/>
      <top style="thin"/>
      <bottom/>
    </border>
    <border>
      <left style="thin"/>
      <right style="hair"/>
      <top style="hair"/>
      <bottom style="thin"/>
    </border>
    <border>
      <left style="hair"/>
      <right/>
      <top style="hair"/>
      <bottom style="thin"/>
    </border>
    <border>
      <left/>
      <right/>
      <top style="medium"/>
      <bottom/>
    </border>
    <border>
      <left style="thin"/>
      <right style="hair"/>
      <top/>
      <bottom style="medium"/>
    </border>
    <border>
      <left style="thin"/>
      <right style="hair"/>
      <top style="thin"/>
      <bottom style="thin"/>
    </border>
    <border>
      <left style="thin"/>
      <right style="hair"/>
      <top/>
      <bottom/>
    </border>
    <border>
      <left style="hair"/>
      <right style="thin"/>
      <top style="hair">
        <color indexed="55"/>
      </top>
      <bottom style="hair">
        <color indexed="55"/>
      </bottom>
    </border>
    <border>
      <left style="hair"/>
      <right style="medium"/>
      <top style="thin"/>
      <bottom style="hair">
        <color indexed="55"/>
      </bottom>
    </border>
    <border>
      <left style="hair"/>
      <right style="thin"/>
      <top style="thin"/>
      <bottom style="hair">
        <color indexed="55"/>
      </bottom>
    </border>
    <border>
      <left style="hair"/>
      <right style="thin"/>
      <top style="hair">
        <color indexed="55"/>
      </top>
      <bottom style="thin"/>
    </border>
    <border>
      <left style="hair"/>
      <right style="medium"/>
      <top/>
      <bottom style="hair">
        <color indexed="55"/>
      </bottom>
    </border>
    <border>
      <left style="hair"/>
      <right style="thin"/>
      <top/>
      <bottom style="hair">
        <color indexed="55"/>
      </bottom>
    </border>
    <border>
      <left style="hair"/>
      <right style="medium"/>
      <top style="thin"/>
      <botto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style="thin"/>
      <right style="hair"/>
      <top/>
      <bottom style="hair">
        <color indexed="55"/>
      </bottom>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thin"/>
      <right style="medium"/>
      <top style="hair">
        <color indexed="55"/>
      </top>
      <bottom style="double"/>
    </border>
    <border>
      <left style="medium"/>
      <right/>
      <top style="hair">
        <color indexed="55"/>
      </top>
      <bottom style="double"/>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hair"/>
      <right/>
      <top style="hair">
        <color indexed="55"/>
      </top>
      <bottom style="double"/>
    </border>
    <border>
      <left style="hair"/>
      <right/>
      <top/>
      <bottom style="medium"/>
    </border>
    <border>
      <left style="hair"/>
      <right style="hair"/>
      <top style="hair">
        <color indexed="55"/>
      </top>
      <bottom style="double"/>
    </border>
    <border>
      <left style="medium"/>
      <right style="thin"/>
      <top/>
      <bottom style="medium"/>
    </border>
    <border>
      <left style="thin"/>
      <right style="thin"/>
      <top/>
      <bottom style="medium"/>
    </border>
    <border>
      <left style="thin"/>
      <right/>
      <top/>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medium"/>
      <right style="hair"/>
      <top style="thin"/>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color indexed="63"/>
      </left>
      <right style="thin"/>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205">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9" fillId="0" borderId="0" xfId="60" applyFont="1">
      <alignment/>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1" xfId="60" applyFont="1" applyBorder="1" applyAlignment="1">
      <alignment horizontal="center" vertical="center" wrapText="1"/>
      <protection/>
    </xf>
    <xf numFmtId="0" fontId="5" fillId="34" borderId="22"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3" fillId="0" borderId="23" xfId="60" applyFont="1" applyBorder="1" applyAlignment="1">
      <alignment horizontal="distributed" vertical="center" indent="1"/>
      <protection/>
    </xf>
    <xf numFmtId="0" fontId="3" fillId="0" borderId="21" xfId="60" applyFont="1" applyBorder="1" applyAlignment="1">
      <alignment horizontal="distributed" vertical="center" indent="1"/>
      <protection/>
    </xf>
    <xf numFmtId="0" fontId="3" fillId="0" borderId="24" xfId="60" applyFont="1" applyBorder="1" applyAlignment="1">
      <alignment horizontal="distributed" vertical="center" indent="1"/>
      <protection/>
    </xf>
    <xf numFmtId="0" fontId="3" fillId="0" borderId="2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25" xfId="60" applyFont="1" applyFill="1" applyBorder="1" applyAlignment="1">
      <alignment horizontal="center" vertical="center"/>
      <protection/>
    </xf>
    <xf numFmtId="176" fontId="8" fillId="0" borderId="25" xfId="60" applyNumberFormat="1" applyFont="1" applyFill="1" applyBorder="1" applyAlignment="1">
      <alignment horizontal="right" vertical="center"/>
      <protection/>
    </xf>
    <xf numFmtId="0" fontId="9" fillId="0" borderId="0" xfId="60" applyFont="1" applyFill="1" applyBorder="1">
      <alignment/>
      <protection/>
    </xf>
    <xf numFmtId="3" fontId="3" fillId="0" borderId="26" xfId="60" applyNumberFormat="1" applyFont="1" applyBorder="1" applyAlignment="1">
      <alignment horizontal="right" vertical="center"/>
      <protection/>
    </xf>
    <xf numFmtId="0" fontId="3" fillId="0" borderId="26" xfId="60" applyFont="1" applyBorder="1" applyAlignment="1">
      <alignment horizontal="right" vertical="center"/>
      <protection/>
    </xf>
    <xf numFmtId="0" fontId="8" fillId="0" borderId="0" xfId="60" applyFont="1" applyAlignment="1">
      <alignment horizontal="left" vertical="top"/>
      <protection/>
    </xf>
    <xf numFmtId="0" fontId="8" fillId="0" borderId="27" xfId="60" applyFont="1" applyBorder="1" applyAlignment="1">
      <alignment horizontal="right" vertical="center"/>
      <protection/>
    </xf>
    <xf numFmtId="3" fontId="3" fillId="0" borderId="28" xfId="60" applyNumberFormat="1" applyFont="1" applyBorder="1" applyAlignment="1">
      <alignment horizontal="center" vertical="center"/>
      <protection/>
    </xf>
    <xf numFmtId="0" fontId="3" fillId="0" borderId="28" xfId="60" applyFont="1" applyBorder="1" applyAlignment="1">
      <alignment horizontal="center" vertical="center"/>
      <protection/>
    </xf>
    <xf numFmtId="0" fontId="3" fillId="0" borderId="29" xfId="60" applyFont="1" applyBorder="1" applyAlignment="1">
      <alignment horizontal="distributed" vertical="center" wrapText="1"/>
      <protection/>
    </xf>
    <xf numFmtId="3" fontId="3" fillId="35" borderId="30"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1" xfId="60" applyNumberFormat="1" applyFont="1" applyFill="1" applyBorder="1" applyAlignment="1">
      <alignment horizontal="right" vertical="center"/>
      <protection/>
    </xf>
    <xf numFmtId="0" fontId="3" fillId="0" borderId="31" xfId="60" applyFont="1" applyBorder="1" applyAlignment="1">
      <alignment horizontal="distributed" vertical="center" wrapText="1"/>
      <protection/>
    </xf>
    <xf numFmtId="0" fontId="3" fillId="0" borderId="28" xfId="60" applyFont="1" applyBorder="1" applyAlignment="1">
      <alignment horizontal="right" vertical="center"/>
      <protection/>
    </xf>
    <xf numFmtId="0" fontId="3" fillId="0" borderId="32" xfId="60" applyFont="1" applyBorder="1" applyAlignment="1">
      <alignment horizontal="distributed" vertical="center"/>
      <protection/>
    </xf>
    <xf numFmtId="0" fontId="8" fillId="0" borderId="28" xfId="60" applyFont="1" applyBorder="1" applyAlignment="1">
      <alignment horizontal="right" vertical="center"/>
      <protection/>
    </xf>
    <xf numFmtId="0" fontId="8" fillId="0" borderId="29" xfId="60" applyFont="1" applyBorder="1" applyAlignment="1">
      <alignment horizontal="distributed" vertical="center"/>
      <protection/>
    </xf>
    <xf numFmtId="3" fontId="3" fillId="0" borderId="28" xfId="60" applyNumberFormat="1" applyFont="1" applyBorder="1" applyAlignment="1">
      <alignment horizontal="right" vertical="center"/>
      <protection/>
    </xf>
    <xf numFmtId="0" fontId="3" fillId="0" borderId="29" xfId="60" applyFont="1" applyBorder="1" applyAlignment="1">
      <alignment horizontal="distributed" vertical="center"/>
      <protection/>
    </xf>
    <xf numFmtId="3" fontId="3" fillId="35" borderId="3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0" fontId="3" fillId="0" borderId="34" xfId="60" applyFont="1" applyBorder="1" applyAlignment="1">
      <alignment horizontal="distributed" vertical="center"/>
      <protection/>
    </xf>
    <xf numFmtId="0" fontId="5" fillId="35" borderId="35" xfId="60" applyFont="1" applyFill="1" applyBorder="1" applyAlignment="1">
      <alignment horizontal="right" vertical="top"/>
      <protection/>
    </xf>
    <xf numFmtId="0" fontId="5" fillId="0" borderId="11"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35"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0" fontId="3" fillId="0" borderId="36" xfId="60" applyFont="1" applyBorder="1" applyAlignment="1">
      <alignment horizontal="distributed" vertical="center"/>
      <protection/>
    </xf>
    <xf numFmtId="3" fontId="3" fillId="34" borderId="37" xfId="60" applyNumberFormat="1" applyFont="1" applyFill="1" applyBorder="1" applyAlignment="1">
      <alignment horizontal="right" vertical="center"/>
      <protection/>
    </xf>
    <xf numFmtId="0" fontId="3" fillId="0" borderId="31"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38" xfId="60" applyNumberFormat="1" applyFont="1" applyFill="1" applyBorder="1" applyAlignment="1">
      <alignment horizontal="right" vertical="center"/>
      <protection/>
    </xf>
    <xf numFmtId="3" fontId="3" fillId="34" borderId="39" xfId="60" applyNumberFormat="1" applyFont="1" applyFill="1" applyBorder="1" applyAlignment="1">
      <alignment horizontal="right" vertical="center"/>
      <protection/>
    </xf>
    <xf numFmtId="3" fontId="3" fillId="35" borderId="32" xfId="60" applyNumberFormat="1" applyFont="1" applyFill="1" applyBorder="1" applyAlignment="1">
      <alignment horizontal="right" vertical="center"/>
      <protection/>
    </xf>
    <xf numFmtId="3" fontId="3" fillId="34" borderId="40"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35"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41" xfId="60" applyFont="1" applyBorder="1" applyAlignment="1">
      <alignment horizontal="center"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distributed" vertical="center"/>
      <protection/>
    </xf>
    <xf numFmtId="0" fontId="3" fillId="0" borderId="44" xfId="60" applyFont="1" applyBorder="1" applyAlignment="1">
      <alignment horizontal="distributed" vertical="center"/>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0" fontId="5" fillId="34" borderId="47" xfId="60" applyFont="1" applyFill="1" applyBorder="1" applyAlignment="1">
      <alignment horizontal="right"/>
      <protection/>
    </xf>
    <xf numFmtId="0" fontId="5" fillId="34" borderId="48" xfId="60" applyFont="1" applyFill="1" applyBorder="1" applyAlignment="1">
      <alignment horizontal="right"/>
      <protection/>
    </xf>
    <xf numFmtId="0" fontId="5" fillId="34" borderId="49"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3" fillId="36" borderId="50" xfId="60" applyFont="1" applyFill="1" applyBorder="1" applyAlignment="1">
      <alignment horizontal="distributed" vertical="center"/>
      <protection/>
    </xf>
    <xf numFmtId="0" fontId="3" fillId="0" borderId="23" xfId="60" applyFont="1" applyBorder="1" applyAlignment="1">
      <alignment horizontal="distributed" vertical="center"/>
      <protection/>
    </xf>
    <xf numFmtId="0" fontId="3" fillId="36" borderId="51" xfId="60" applyFont="1" applyFill="1" applyBorder="1" applyAlignment="1">
      <alignment horizontal="distributed"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0" fontId="3" fillId="0" borderId="0" xfId="60" applyFont="1" applyFill="1" applyBorder="1" applyAlignment="1">
      <alignment horizontal="right" vertical="center"/>
      <protection/>
    </xf>
    <xf numFmtId="3" fontId="3" fillId="0" borderId="0" xfId="60" applyNumberFormat="1" applyFont="1" applyFill="1" applyBorder="1" applyAlignment="1">
      <alignment horizontal="right" vertical="center"/>
      <protection/>
    </xf>
    <xf numFmtId="0" fontId="3" fillId="0" borderId="0" xfId="60" applyFont="1" applyBorder="1" applyAlignment="1">
      <alignment horizontal="left" vertical="top" wrapText="1"/>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3" fontId="3" fillId="34" borderId="52" xfId="60" applyNumberFormat="1" applyFont="1" applyFill="1" applyBorder="1" applyAlignment="1">
      <alignment horizontal="right" vertical="center"/>
      <protection/>
    </xf>
    <xf numFmtId="3" fontId="3" fillId="34" borderId="53" xfId="60" applyNumberFormat="1" applyFont="1" applyFill="1" applyBorder="1" applyAlignment="1">
      <alignment horizontal="right" vertical="center"/>
      <protection/>
    </xf>
    <xf numFmtId="3" fontId="3" fillId="35" borderId="29" xfId="60" applyNumberFormat="1" applyFont="1" applyFill="1" applyBorder="1" applyAlignment="1">
      <alignment horizontal="right" vertical="center"/>
      <protection/>
    </xf>
    <xf numFmtId="3" fontId="3" fillId="35" borderId="54" xfId="60" applyNumberFormat="1" applyFont="1" applyFill="1" applyBorder="1" applyAlignment="1">
      <alignment horizontal="right" vertical="center"/>
      <protection/>
    </xf>
    <xf numFmtId="3" fontId="8" fillId="34" borderId="53" xfId="60" applyNumberFormat="1" applyFont="1" applyFill="1" applyBorder="1" applyAlignment="1">
      <alignment horizontal="right" vertical="center"/>
      <protection/>
    </xf>
    <xf numFmtId="3" fontId="8" fillId="35" borderId="29" xfId="60" applyNumberFormat="1" applyFont="1" applyFill="1" applyBorder="1" applyAlignment="1">
      <alignment horizontal="right" vertical="center"/>
      <protection/>
    </xf>
    <xf numFmtId="3" fontId="8"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5" borderId="56" xfId="60" applyNumberFormat="1" applyFont="1" applyFill="1" applyBorder="1" applyAlignment="1">
      <alignment horizontal="right" vertical="center"/>
      <protection/>
    </xf>
    <xf numFmtId="3" fontId="3" fillId="35" borderId="57" xfId="60" applyNumberFormat="1" applyFont="1" applyFill="1" applyBorder="1" applyAlignment="1">
      <alignment horizontal="right" vertical="center"/>
      <protection/>
    </xf>
    <xf numFmtId="3" fontId="3" fillId="34" borderId="58" xfId="60" applyNumberFormat="1" applyFont="1" applyFill="1" applyBorder="1" applyAlignment="1">
      <alignment horizontal="right" vertical="center"/>
      <protection/>
    </xf>
    <xf numFmtId="3" fontId="3" fillId="34" borderId="58" xfId="60" applyNumberFormat="1" applyFont="1" applyFill="1" applyBorder="1" applyAlignment="1">
      <alignment vertical="center"/>
      <protection/>
    </xf>
    <xf numFmtId="3" fontId="3" fillId="34" borderId="53" xfId="60" applyNumberFormat="1" applyFont="1" applyFill="1" applyBorder="1" applyAlignment="1">
      <alignment vertical="center"/>
      <protection/>
    </xf>
    <xf numFmtId="3" fontId="8" fillId="34" borderId="59" xfId="60" applyNumberFormat="1" applyFont="1" applyFill="1" applyBorder="1" applyAlignment="1">
      <alignment horizontal="right" vertical="center"/>
      <protection/>
    </xf>
    <xf numFmtId="3" fontId="8" fillId="35" borderId="60" xfId="60" applyNumberFormat="1" applyFont="1" applyFill="1" applyBorder="1" applyAlignment="1">
      <alignment horizontal="right" vertical="center"/>
      <protection/>
    </xf>
    <xf numFmtId="3" fontId="8" fillId="35" borderId="61" xfId="60" applyNumberFormat="1" applyFont="1" applyFill="1" applyBorder="1" applyAlignment="1">
      <alignment horizontal="right" vertical="center"/>
      <protection/>
    </xf>
    <xf numFmtId="3" fontId="3" fillId="34" borderId="62" xfId="60" applyNumberFormat="1" applyFont="1" applyFill="1" applyBorder="1" applyAlignment="1">
      <alignment horizontal="right" vertical="center"/>
      <protection/>
    </xf>
    <xf numFmtId="3" fontId="3" fillId="35" borderId="63" xfId="60" applyNumberFormat="1" applyFont="1" applyFill="1" applyBorder="1" applyAlignment="1">
      <alignment horizontal="right" vertical="center"/>
      <protection/>
    </xf>
    <xf numFmtId="3" fontId="3" fillId="35" borderId="64" xfId="60" applyNumberFormat="1" applyFont="1" applyFill="1" applyBorder="1" applyAlignment="1">
      <alignment horizontal="right" vertical="center"/>
      <protection/>
    </xf>
    <xf numFmtId="3" fontId="3" fillId="34" borderId="65"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66" xfId="60" applyNumberFormat="1" applyFont="1" applyFill="1" applyBorder="1" applyAlignment="1">
      <alignment horizontal="right" vertical="center"/>
      <protection/>
    </xf>
    <xf numFmtId="176" fontId="3" fillId="34" borderId="40" xfId="60" applyNumberFormat="1" applyFont="1" applyFill="1" applyBorder="1" applyAlignment="1">
      <alignment horizontal="right" vertical="center"/>
      <protection/>
    </xf>
    <xf numFmtId="176" fontId="3" fillId="35" borderId="34" xfId="60" applyNumberFormat="1" applyFont="1" applyFill="1" applyBorder="1" applyAlignment="1">
      <alignment horizontal="right" vertical="center"/>
      <protection/>
    </xf>
    <xf numFmtId="176" fontId="3" fillId="35" borderId="67"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176" fontId="3" fillId="35" borderId="29" xfId="60" applyNumberFormat="1" applyFont="1" applyFill="1" applyBorder="1" applyAlignment="1">
      <alignment horizontal="right" vertical="center"/>
      <protection/>
    </xf>
    <xf numFmtId="176" fontId="3" fillId="35" borderId="69" xfId="60" applyNumberFormat="1" applyFont="1" applyFill="1" applyBorder="1" applyAlignment="1">
      <alignment horizontal="right" vertical="center"/>
      <protection/>
    </xf>
    <xf numFmtId="176" fontId="3" fillId="34" borderId="70" xfId="60" applyNumberFormat="1" applyFont="1" applyFill="1" applyBorder="1" applyAlignment="1">
      <alignment horizontal="right" vertical="center"/>
      <protection/>
    </xf>
    <xf numFmtId="176" fontId="3" fillId="35" borderId="71" xfId="60" applyNumberFormat="1" applyFont="1" applyFill="1" applyBorder="1" applyAlignment="1">
      <alignment horizontal="right" vertical="center"/>
      <protection/>
    </xf>
    <xf numFmtId="176" fontId="3" fillId="35" borderId="72" xfId="60" applyNumberFormat="1" applyFont="1" applyFill="1" applyBorder="1" applyAlignment="1">
      <alignment horizontal="right" vertical="center"/>
      <protection/>
    </xf>
    <xf numFmtId="176" fontId="8" fillId="34" borderId="26" xfId="60" applyNumberFormat="1" applyFont="1" applyFill="1" applyBorder="1" applyAlignment="1">
      <alignment horizontal="right" vertical="center"/>
      <protection/>
    </xf>
    <xf numFmtId="176" fontId="8" fillId="35" borderId="63" xfId="60" applyNumberFormat="1" applyFont="1" applyFill="1" applyBorder="1" applyAlignment="1">
      <alignment horizontal="right" vertical="center"/>
      <protection/>
    </xf>
    <xf numFmtId="176" fontId="8" fillId="35" borderId="73" xfId="60" applyNumberFormat="1" applyFont="1" applyFill="1" applyBorder="1" applyAlignment="1">
      <alignment horizontal="right" vertical="center"/>
      <protection/>
    </xf>
    <xf numFmtId="176" fontId="3" fillId="34" borderId="52" xfId="60" applyNumberFormat="1" applyFont="1" applyFill="1" applyBorder="1" applyAlignment="1">
      <alignment horizontal="right" vertical="center"/>
      <protection/>
    </xf>
    <xf numFmtId="176" fontId="3" fillId="34" borderId="67" xfId="60" applyNumberFormat="1" applyFont="1" applyFill="1" applyBorder="1" applyAlignment="1">
      <alignment horizontal="right" vertical="center"/>
      <protection/>
    </xf>
    <xf numFmtId="176" fontId="3" fillId="34" borderId="74" xfId="60" applyNumberFormat="1" applyFont="1" applyFill="1" applyBorder="1" applyAlignment="1">
      <alignment horizontal="right" vertical="center"/>
      <protection/>
    </xf>
    <xf numFmtId="176" fontId="3" fillId="34" borderId="72" xfId="60" applyNumberFormat="1" applyFont="1" applyFill="1" applyBorder="1" applyAlignment="1">
      <alignment horizontal="right" vertical="center"/>
      <protection/>
    </xf>
    <xf numFmtId="176" fontId="8" fillId="34" borderId="62" xfId="60" applyNumberFormat="1" applyFont="1" applyFill="1" applyBorder="1" applyAlignment="1">
      <alignment horizontal="right" vertical="center"/>
      <protection/>
    </xf>
    <xf numFmtId="176" fontId="8" fillId="34" borderId="73" xfId="60" applyNumberFormat="1" applyFont="1" applyFill="1" applyBorder="1" applyAlignment="1">
      <alignment horizontal="right" vertical="center"/>
      <protection/>
    </xf>
    <xf numFmtId="3" fontId="3" fillId="34" borderId="75" xfId="60" applyNumberFormat="1" applyFont="1" applyFill="1" applyBorder="1" applyAlignment="1">
      <alignment vertical="center"/>
      <protection/>
    </xf>
    <xf numFmtId="3" fontId="3" fillId="34" borderId="76" xfId="60" applyNumberFormat="1" applyFont="1" applyFill="1" applyBorder="1" applyAlignment="1">
      <alignment vertical="center"/>
      <protection/>
    </xf>
    <xf numFmtId="3" fontId="3" fillId="34" borderId="77" xfId="60" applyNumberFormat="1" applyFont="1" applyFill="1" applyBorder="1" applyAlignment="1">
      <alignment vertical="center"/>
      <protection/>
    </xf>
    <xf numFmtId="3" fontId="3" fillId="34" borderId="20" xfId="60" applyNumberFormat="1" applyFont="1" applyFill="1" applyBorder="1" applyAlignment="1">
      <alignment vertical="center"/>
      <protection/>
    </xf>
    <xf numFmtId="0" fontId="3" fillId="0" borderId="78" xfId="60" applyFont="1" applyBorder="1" applyAlignment="1">
      <alignment horizontal="distributed" vertical="center" wrapText="1"/>
      <protection/>
    </xf>
    <xf numFmtId="0" fontId="3" fillId="0" borderId="78" xfId="60" applyFont="1" applyBorder="1" applyAlignment="1">
      <alignment horizontal="distributed" vertical="center"/>
      <protection/>
    </xf>
    <xf numFmtId="0" fontId="3" fillId="0" borderId="79" xfId="60" applyFont="1" applyBorder="1" applyAlignment="1">
      <alignment horizontal="distributed" vertical="center"/>
      <protection/>
    </xf>
    <xf numFmtId="0" fontId="3" fillId="0" borderId="80" xfId="60" applyFont="1" applyBorder="1" applyAlignment="1">
      <alignment horizontal="distributed" vertical="center" wrapText="1"/>
      <protection/>
    </xf>
    <xf numFmtId="0" fontId="3" fillId="0" borderId="81" xfId="60" applyFont="1" applyBorder="1" applyAlignment="1">
      <alignment horizontal="distributed" vertical="center"/>
      <protection/>
    </xf>
    <xf numFmtId="0" fontId="8" fillId="0" borderId="82" xfId="60" applyFont="1" applyBorder="1" applyAlignment="1">
      <alignment horizontal="distributed" vertical="center"/>
      <protection/>
    </xf>
    <xf numFmtId="0" fontId="8" fillId="0" borderId="83" xfId="60" applyFont="1" applyBorder="1" applyAlignment="1">
      <alignment horizontal="distributed" vertical="center"/>
      <protection/>
    </xf>
    <xf numFmtId="0" fontId="3" fillId="0" borderId="19" xfId="60" applyFont="1" applyBorder="1" applyAlignment="1">
      <alignment horizontal="distributed" vertical="center"/>
      <protection/>
    </xf>
    <xf numFmtId="0" fontId="3" fillId="0" borderId="84" xfId="60" applyFont="1" applyBorder="1" applyAlignment="1">
      <alignment horizontal="distributed" vertical="center"/>
      <protection/>
    </xf>
    <xf numFmtId="0" fontId="3" fillId="0" borderId="0" xfId="60" applyFont="1" applyBorder="1" applyAlignment="1">
      <alignment horizontal="left" vertical="top" wrapText="1"/>
      <protection/>
    </xf>
    <xf numFmtId="0" fontId="3" fillId="0" borderId="0" xfId="60" applyFont="1" applyAlignment="1">
      <alignment horizontal="left" vertical="top" wrapText="1"/>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85" xfId="60" applyFont="1" applyBorder="1" applyAlignment="1">
      <alignment horizontal="center" vertical="center"/>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90" xfId="60" applyFont="1" applyBorder="1" applyAlignment="1">
      <alignment horizontal="center" vertical="center"/>
      <protection/>
    </xf>
    <xf numFmtId="0" fontId="3" fillId="0" borderId="91" xfId="60" applyFont="1" applyBorder="1" applyAlignment="1">
      <alignment horizontal="center" vertical="center"/>
      <protection/>
    </xf>
    <xf numFmtId="0" fontId="3" fillId="0" borderId="92"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2"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9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99" xfId="60" applyFont="1" applyBorder="1" applyAlignment="1">
      <alignment horizontal="center" vertical="center"/>
      <protection/>
    </xf>
    <xf numFmtId="0" fontId="3" fillId="0" borderId="100"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102" xfId="60" applyFont="1" applyBorder="1" applyAlignment="1">
      <alignment horizontal="center" vertical="center"/>
      <protection/>
    </xf>
    <xf numFmtId="0" fontId="3" fillId="0" borderId="85" xfId="60" applyFont="1" applyBorder="1" applyAlignment="1">
      <alignment horizontal="distributed" vertical="center"/>
      <protection/>
    </xf>
    <xf numFmtId="0" fontId="3" fillId="0" borderId="87" xfId="60" applyFont="1" applyBorder="1" applyAlignment="1">
      <alignment horizontal="distributed" vertical="center"/>
      <protection/>
    </xf>
    <xf numFmtId="0" fontId="3" fillId="0" borderId="103" xfId="60" applyFont="1" applyBorder="1" applyAlignment="1">
      <alignment horizontal="distributed" vertical="center"/>
      <protection/>
    </xf>
    <xf numFmtId="0" fontId="3" fillId="0" borderId="104" xfId="60" applyFont="1" applyBorder="1" applyAlignment="1">
      <alignment horizontal="center" vertical="center"/>
      <protection/>
    </xf>
    <xf numFmtId="0" fontId="3" fillId="0" borderId="46" xfId="60" applyFont="1" applyBorder="1" applyAlignment="1">
      <alignment horizontal="distributed" vertical="center" wrapText="1"/>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distributed" vertical="center" wrapText="1"/>
      <protection/>
    </xf>
    <xf numFmtId="0" fontId="3" fillId="0" borderId="107" xfId="60" applyFont="1" applyBorder="1" applyAlignment="1">
      <alignment horizontal="center" vertical="center"/>
      <protection/>
    </xf>
    <xf numFmtId="0" fontId="3" fillId="0" borderId="108" xfId="60" applyFont="1" applyBorder="1" applyAlignment="1">
      <alignment horizontal="center" vertical="center"/>
      <protection/>
    </xf>
    <xf numFmtId="0" fontId="3" fillId="0" borderId="109"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99" xfId="60" applyFont="1" applyBorder="1" applyAlignment="1">
      <alignment horizontal="center" vertical="center" wrapText="1"/>
      <protection/>
    </xf>
    <xf numFmtId="0" fontId="3" fillId="0" borderId="111" xfId="60" applyFont="1" applyBorder="1" applyAlignment="1">
      <alignment horizontal="left"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3" fillId="0" borderId="114" xfId="60" applyFont="1" applyBorder="1" applyAlignment="1">
      <alignment horizontal="center" vertical="center"/>
      <protection/>
    </xf>
    <xf numFmtId="0" fontId="3" fillId="0" borderId="115" xfId="60" applyFont="1" applyBorder="1" applyAlignment="1">
      <alignment horizontal="distributed" vertical="center" wrapText="1"/>
      <protection/>
    </xf>
    <xf numFmtId="0" fontId="3" fillId="0" borderId="116" xfId="60" applyFont="1" applyBorder="1" applyAlignment="1">
      <alignment horizontal="distributed" vertical="center"/>
      <protection/>
    </xf>
    <xf numFmtId="0" fontId="3" fillId="0" borderId="117" xfId="60" applyFont="1" applyBorder="1" applyAlignment="1">
      <alignment horizontal="distributed" vertical="center" wrapText="1"/>
      <protection/>
    </xf>
    <xf numFmtId="0" fontId="3" fillId="0" borderId="118" xfId="60" applyFont="1" applyBorder="1" applyAlignment="1">
      <alignment horizontal="distributed" vertical="center"/>
      <protection/>
    </xf>
    <xf numFmtId="0" fontId="3" fillId="0" borderId="119" xfId="60" applyFont="1" applyBorder="1" applyAlignment="1">
      <alignment horizontal="distributed" vertical="center" wrapText="1"/>
      <protection/>
    </xf>
    <xf numFmtId="0" fontId="3" fillId="0" borderId="120" xfId="60" applyFont="1" applyBorder="1" applyAlignment="1">
      <alignment horizontal="distributed" vertical="center" wrapText="1"/>
      <protection/>
    </xf>
    <xf numFmtId="0" fontId="3" fillId="0" borderId="24" xfId="60" applyFont="1" applyBorder="1" applyAlignment="1">
      <alignment horizontal="center" vertical="center"/>
      <protection/>
    </xf>
    <xf numFmtId="0" fontId="3" fillId="0" borderId="104"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SheetLayoutView="10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154" t="s">
        <v>64</v>
      </c>
      <c r="B1" s="154"/>
      <c r="C1" s="154"/>
      <c r="D1" s="154"/>
      <c r="E1" s="154"/>
      <c r="F1" s="154"/>
      <c r="G1" s="154"/>
      <c r="H1" s="154"/>
      <c r="I1" s="154"/>
      <c r="J1" s="154"/>
      <c r="K1" s="154"/>
    </row>
    <row r="2" spans="1:11" ht="15">
      <c r="A2" s="88"/>
      <c r="B2" s="88"/>
      <c r="C2" s="88"/>
      <c r="D2" s="88"/>
      <c r="E2" s="88"/>
      <c r="F2" s="88"/>
      <c r="G2" s="88"/>
      <c r="H2" s="88"/>
      <c r="I2" s="88"/>
      <c r="J2" s="88"/>
      <c r="K2" s="88"/>
    </row>
    <row r="3" spans="1:11" ht="12" thickBot="1">
      <c r="A3" s="155" t="s">
        <v>63</v>
      </c>
      <c r="B3" s="155"/>
      <c r="C3" s="155"/>
      <c r="D3" s="155"/>
      <c r="E3" s="155"/>
      <c r="F3" s="155"/>
      <c r="G3" s="155"/>
      <c r="H3" s="155"/>
      <c r="I3" s="155"/>
      <c r="J3" s="155"/>
      <c r="K3" s="155"/>
    </row>
    <row r="4" spans="1:11" ht="24" customHeight="1">
      <c r="A4" s="156" t="s">
        <v>62</v>
      </c>
      <c r="B4" s="157"/>
      <c r="C4" s="160" t="s">
        <v>61</v>
      </c>
      <c r="D4" s="161"/>
      <c r="E4" s="162"/>
      <c r="F4" s="160" t="s">
        <v>60</v>
      </c>
      <c r="G4" s="161"/>
      <c r="H4" s="162"/>
      <c r="I4" s="160" t="s">
        <v>59</v>
      </c>
      <c r="J4" s="161"/>
      <c r="K4" s="163"/>
    </row>
    <row r="5" spans="1:11" ht="24" customHeight="1">
      <c r="A5" s="158"/>
      <c r="B5" s="159"/>
      <c r="C5" s="164" t="s">
        <v>58</v>
      </c>
      <c r="D5" s="165"/>
      <c r="E5" s="59" t="s">
        <v>57</v>
      </c>
      <c r="F5" s="164" t="s">
        <v>58</v>
      </c>
      <c r="G5" s="165"/>
      <c r="H5" s="59" t="s">
        <v>57</v>
      </c>
      <c r="I5" s="164" t="s">
        <v>58</v>
      </c>
      <c r="J5" s="165"/>
      <c r="K5" s="58" t="s">
        <v>57</v>
      </c>
    </row>
    <row r="6" spans="1:11" ht="12" customHeight="1">
      <c r="A6" s="57"/>
      <c r="B6" s="56"/>
      <c r="C6" s="55"/>
      <c r="D6" s="23" t="s">
        <v>56</v>
      </c>
      <c r="E6" s="7" t="s">
        <v>55</v>
      </c>
      <c r="F6" s="55"/>
      <c r="G6" s="23" t="s">
        <v>56</v>
      </c>
      <c r="H6" s="7" t="s">
        <v>55</v>
      </c>
      <c r="I6" s="55"/>
      <c r="J6" s="23" t="s">
        <v>56</v>
      </c>
      <c r="K6" s="54" t="s">
        <v>55</v>
      </c>
    </row>
    <row r="7" spans="1:11" ht="30" customHeight="1">
      <c r="A7" s="143" t="s">
        <v>54</v>
      </c>
      <c r="B7" s="53" t="s">
        <v>53</v>
      </c>
      <c r="C7" s="45"/>
      <c r="D7" s="99">
        <v>18459</v>
      </c>
      <c r="E7" s="52">
        <v>14225682</v>
      </c>
      <c r="F7" s="49"/>
      <c r="G7" s="99">
        <v>56109</v>
      </c>
      <c r="H7" s="52">
        <v>378127790</v>
      </c>
      <c r="I7" s="49"/>
      <c r="J7" s="99">
        <v>74568</v>
      </c>
      <c r="K7" s="51">
        <v>392353472</v>
      </c>
    </row>
    <row r="8" spans="1:11" ht="30" customHeight="1">
      <c r="A8" s="144"/>
      <c r="B8" s="50" t="s">
        <v>52</v>
      </c>
      <c r="C8" s="45"/>
      <c r="D8" s="100">
        <v>31327</v>
      </c>
      <c r="E8" s="101">
        <v>13213646</v>
      </c>
      <c r="F8" s="49"/>
      <c r="G8" s="100">
        <v>21524</v>
      </c>
      <c r="H8" s="101">
        <v>12854357</v>
      </c>
      <c r="I8" s="49"/>
      <c r="J8" s="100">
        <v>52851</v>
      </c>
      <c r="K8" s="102">
        <v>26068003</v>
      </c>
    </row>
    <row r="9" spans="1:11" s="36" customFormat="1" ht="30" customHeight="1">
      <c r="A9" s="144"/>
      <c r="B9" s="48" t="s">
        <v>51</v>
      </c>
      <c r="C9" s="47"/>
      <c r="D9" s="103">
        <v>49786</v>
      </c>
      <c r="E9" s="104">
        <v>27439328</v>
      </c>
      <c r="F9" s="47"/>
      <c r="G9" s="103">
        <v>77633</v>
      </c>
      <c r="H9" s="104">
        <v>390982148</v>
      </c>
      <c r="I9" s="47"/>
      <c r="J9" s="103">
        <v>127419</v>
      </c>
      <c r="K9" s="105">
        <v>418421475</v>
      </c>
    </row>
    <row r="10" spans="1:11" ht="30" customHeight="1">
      <c r="A10" s="145"/>
      <c r="B10" s="46" t="s">
        <v>50</v>
      </c>
      <c r="C10" s="45"/>
      <c r="D10" s="106">
        <v>3463</v>
      </c>
      <c r="E10" s="107">
        <v>2455326</v>
      </c>
      <c r="F10" s="45"/>
      <c r="G10" s="106">
        <v>3944</v>
      </c>
      <c r="H10" s="107">
        <v>23361075</v>
      </c>
      <c r="I10" s="45"/>
      <c r="J10" s="106">
        <v>7407</v>
      </c>
      <c r="K10" s="108">
        <v>25816401</v>
      </c>
    </row>
    <row r="11" spans="1:11" ht="30" customHeight="1">
      <c r="A11" s="146" t="s">
        <v>49</v>
      </c>
      <c r="B11" s="44" t="s">
        <v>48</v>
      </c>
      <c r="C11" s="89"/>
      <c r="D11" s="109">
        <v>2566</v>
      </c>
      <c r="E11" s="43">
        <v>622352</v>
      </c>
      <c r="F11" s="42"/>
      <c r="G11" s="110">
        <v>4452</v>
      </c>
      <c r="H11" s="43">
        <v>1809485</v>
      </c>
      <c r="I11" s="42"/>
      <c r="J11" s="110">
        <v>7018</v>
      </c>
      <c r="K11" s="41">
        <v>2431837</v>
      </c>
    </row>
    <row r="12" spans="1:11" ht="30" customHeight="1">
      <c r="A12" s="147"/>
      <c r="B12" s="40" t="s">
        <v>47</v>
      </c>
      <c r="C12" s="39"/>
      <c r="D12" s="100">
        <v>314</v>
      </c>
      <c r="E12" s="101">
        <v>62728</v>
      </c>
      <c r="F12" s="38"/>
      <c r="G12" s="111">
        <v>690</v>
      </c>
      <c r="H12" s="101">
        <v>1211703</v>
      </c>
      <c r="I12" s="38"/>
      <c r="J12" s="111">
        <v>1004</v>
      </c>
      <c r="K12" s="102">
        <v>1274431</v>
      </c>
    </row>
    <row r="13" spans="1:11" s="36" customFormat="1" ht="30" customHeight="1">
      <c r="A13" s="148" t="s">
        <v>46</v>
      </c>
      <c r="B13" s="149"/>
      <c r="C13" s="37" t="s">
        <v>45</v>
      </c>
      <c r="D13" s="112">
        <v>54512</v>
      </c>
      <c r="E13" s="113">
        <v>25543626</v>
      </c>
      <c r="F13" s="37" t="s">
        <v>45</v>
      </c>
      <c r="G13" s="112">
        <v>82270</v>
      </c>
      <c r="H13" s="113">
        <v>368218855</v>
      </c>
      <c r="I13" s="37" t="s">
        <v>45</v>
      </c>
      <c r="J13" s="112">
        <v>136782</v>
      </c>
      <c r="K13" s="114">
        <v>393762481</v>
      </c>
    </row>
    <row r="14" spans="1:11" ht="30" customHeight="1" thickBot="1">
      <c r="A14" s="150" t="s">
        <v>44</v>
      </c>
      <c r="B14" s="151"/>
      <c r="C14" s="35"/>
      <c r="D14" s="115">
        <v>2477</v>
      </c>
      <c r="E14" s="116">
        <v>131823</v>
      </c>
      <c r="F14" s="34"/>
      <c r="G14" s="115">
        <v>3624</v>
      </c>
      <c r="H14" s="116">
        <v>309767</v>
      </c>
      <c r="I14" s="34"/>
      <c r="J14" s="115">
        <v>6101</v>
      </c>
      <c r="K14" s="117">
        <v>441591</v>
      </c>
    </row>
    <row r="15" spans="1:11" s="95" customFormat="1" ht="3" customHeight="1">
      <c r="A15" s="91"/>
      <c r="B15" s="91"/>
      <c r="C15" s="92"/>
      <c r="D15" s="93"/>
      <c r="E15" s="93"/>
      <c r="F15" s="93"/>
      <c r="G15" s="93"/>
      <c r="H15" s="93"/>
      <c r="I15" s="93"/>
      <c r="J15" s="93"/>
      <c r="K15" s="93"/>
    </row>
    <row r="16" spans="1:11" s="1" customFormat="1" ht="37.5" customHeight="1">
      <c r="A16" s="94" t="s">
        <v>93</v>
      </c>
      <c r="B16" s="152" t="s">
        <v>104</v>
      </c>
      <c r="C16" s="152"/>
      <c r="D16" s="152"/>
      <c r="E16" s="152"/>
      <c r="F16" s="152"/>
      <c r="G16" s="152"/>
      <c r="H16" s="152"/>
      <c r="I16" s="152"/>
      <c r="J16" s="152"/>
      <c r="K16" s="152"/>
    </row>
    <row r="17" spans="2:11" ht="55.5" customHeight="1">
      <c r="B17" s="153" t="s">
        <v>105</v>
      </c>
      <c r="C17" s="153"/>
      <c r="D17" s="153"/>
      <c r="E17" s="153"/>
      <c r="F17" s="153"/>
      <c r="G17" s="153"/>
      <c r="H17" s="153"/>
      <c r="I17" s="153"/>
      <c r="J17" s="153"/>
      <c r="K17" s="153"/>
    </row>
    <row r="18" spans="1:2" ht="14.25" customHeight="1">
      <c r="A18" s="2" t="s">
        <v>94</v>
      </c>
      <c r="B18" s="2" t="s">
        <v>95</v>
      </c>
    </row>
    <row r="19" spans="1:2" ht="11.25">
      <c r="A19" s="90" t="s">
        <v>96</v>
      </c>
      <c r="B19" s="2" t="s">
        <v>112</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（H28）</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85" workbookViewId="0" topLeftCell="A1">
      <selection activeCell="A1" sqref="A1:K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70</v>
      </c>
    </row>
    <row r="2" spans="1:8" s="2" customFormat="1" ht="15" customHeight="1">
      <c r="A2" s="156" t="s">
        <v>62</v>
      </c>
      <c r="B2" s="157"/>
      <c r="C2" s="168" t="s">
        <v>61</v>
      </c>
      <c r="D2" s="168"/>
      <c r="E2" s="168" t="s">
        <v>69</v>
      </c>
      <c r="F2" s="168"/>
      <c r="G2" s="169" t="s">
        <v>68</v>
      </c>
      <c r="H2" s="170"/>
    </row>
    <row r="3" spans="1:8" s="2" customFormat="1" ht="15" customHeight="1">
      <c r="A3" s="158"/>
      <c r="B3" s="159"/>
      <c r="C3" s="89" t="s">
        <v>67</v>
      </c>
      <c r="D3" s="59" t="s">
        <v>66</v>
      </c>
      <c r="E3" s="89" t="s">
        <v>67</v>
      </c>
      <c r="F3" s="75" t="s">
        <v>66</v>
      </c>
      <c r="G3" s="89" t="s">
        <v>67</v>
      </c>
      <c r="H3" s="74" t="s">
        <v>66</v>
      </c>
    </row>
    <row r="4" spans="1:8" s="69" customFormat="1" ht="15" customHeight="1">
      <c r="A4" s="73"/>
      <c r="B4" s="59"/>
      <c r="C4" s="71" t="s">
        <v>7</v>
      </c>
      <c r="D4" s="72" t="s">
        <v>8</v>
      </c>
      <c r="E4" s="71" t="s">
        <v>7</v>
      </c>
      <c r="F4" s="72" t="s">
        <v>8</v>
      </c>
      <c r="G4" s="71" t="s">
        <v>7</v>
      </c>
      <c r="H4" s="70" t="s">
        <v>8</v>
      </c>
    </row>
    <row r="5" spans="1:8" s="64" customFormat="1" ht="30" customHeight="1">
      <c r="A5" s="171" t="s">
        <v>100</v>
      </c>
      <c r="B5" s="53" t="s">
        <v>65</v>
      </c>
      <c r="C5" s="68">
        <v>51190</v>
      </c>
      <c r="D5" s="52">
        <v>15880012</v>
      </c>
      <c r="E5" s="68">
        <v>78039</v>
      </c>
      <c r="F5" s="52">
        <v>220012892</v>
      </c>
      <c r="G5" s="68">
        <v>129229</v>
      </c>
      <c r="H5" s="51">
        <v>235892904</v>
      </c>
    </row>
    <row r="6" spans="1:8" s="64" customFormat="1" ht="30" customHeight="1">
      <c r="A6" s="172"/>
      <c r="B6" s="46" t="s">
        <v>1</v>
      </c>
      <c r="C6" s="66">
        <v>2557</v>
      </c>
      <c r="D6" s="67">
        <v>945236</v>
      </c>
      <c r="E6" s="66">
        <v>3225</v>
      </c>
      <c r="F6" s="67">
        <v>11596755</v>
      </c>
      <c r="G6" s="66">
        <v>5782</v>
      </c>
      <c r="H6" s="65">
        <v>12541991</v>
      </c>
    </row>
    <row r="7" spans="1:8" s="64" customFormat="1" ht="30" customHeight="1">
      <c r="A7" s="173" t="s">
        <v>92</v>
      </c>
      <c r="B7" s="63" t="s">
        <v>65</v>
      </c>
      <c r="C7" s="62">
        <v>51090</v>
      </c>
      <c r="D7" s="43">
        <v>16411971</v>
      </c>
      <c r="E7" s="62">
        <v>77584</v>
      </c>
      <c r="F7" s="43">
        <v>223772529</v>
      </c>
      <c r="G7" s="62">
        <v>128674</v>
      </c>
      <c r="H7" s="41">
        <v>240184500</v>
      </c>
    </row>
    <row r="8" spans="1:8" s="64" customFormat="1" ht="30" customHeight="1">
      <c r="A8" s="174"/>
      <c r="B8" s="46" t="s">
        <v>1</v>
      </c>
      <c r="C8" s="66">
        <v>3008</v>
      </c>
      <c r="D8" s="67">
        <v>1100427</v>
      </c>
      <c r="E8" s="66">
        <v>3411</v>
      </c>
      <c r="F8" s="67">
        <v>12767214</v>
      </c>
      <c r="G8" s="66">
        <v>6419</v>
      </c>
      <c r="H8" s="65">
        <v>13867641</v>
      </c>
    </row>
    <row r="9" spans="1:8" s="64" customFormat="1" ht="30" customHeight="1">
      <c r="A9" s="171" t="s">
        <v>101</v>
      </c>
      <c r="B9" s="63" t="s">
        <v>65</v>
      </c>
      <c r="C9" s="62">
        <v>52046</v>
      </c>
      <c r="D9" s="43">
        <v>24117398</v>
      </c>
      <c r="E9" s="62">
        <v>77560</v>
      </c>
      <c r="F9" s="43">
        <v>329569391</v>
      </c>
      <c r="G9" s="62">
        <v>129606</v>
      </c>
      <c r="H9" s="41">
        <v>353686789</v>
      </c>
    </row>
    <row r="10" spans="1:8" s="64" customFormat="1" ht="30" customHeight="1">
      <c r="A10" s="172"/>
      <c r="B10" s="46" t="s">
        <v>1</v>
      </c>
      <c r="C10" s="66">
        <v>2353</v>
      </c>
      <c r="D10" s="67">
        <v>1290318</v>
      </c>
      <c r="E10" s="66">
        <v>3503</v>
      </c>
      <c r="F10" s="67">
        <v>21659435</v>
      </c>
      <c r="G10" s="66">
        <v>5856</v>
      </c>
      <c r="H10" s="65">
        <v>22949753</v>
      </c>
    </row>
    <row r="11" spans="1:8" s="64" customFormat="1" ht="30" customHeight="1">
      <c r="A11" s="173" t="s">
        <v>106</v>
      </c>
      <c r="B11" s="63" t="s">
        <v>65</v>
      </c>
      <c r="C11" s="62">
        <v>51395</v>
      </c>
      <c r="D11" s="43">
        <v>27257518</v>
      </c>
      <c r="E11" s="62">
        <v>77807</v>
      </c>
      <c r="F11" s="43">
        <v>380332297</v>
      </c>
      <c r="G11" s="62">
        <v>129202</v>
      </c>
      <c r="H11" s="41">
        <v>407589815</v>
      </c>
    </row>
    <row r="12" spans="1:8" s="64" customFormat="1" ht="30" customHeight="1">
      <c r="A12" s="174"/>
      <c r="B12" s="46" t="s">
        <v>1</v>
      </c>
      <c r="C12" s="66">
        <v>2688</v>
      </c>
      <c r="D12" s="67">
        <v>1536860</v>
      </c>
      <c r="E12" s="66">
        <v>3591</v>
      </c>
      <c r="F12" s="67">
        <v>21235798</v>
      </c>
      <c r="G12" s="66">
        <v>6279</v>
      </c>
      <c r="H12" s="65">
        <v>22772658</v>
      </c>
    </row>
    <row r="13" spans="1:8" s="2" customFormat="1" ht="30" customHeight="1">
      <c r="A13" s="166" t="s">
        <v>107</v>
      </c>
      <c r="B13" s="63" t="s">
        <v>65</v>
      </c>
      <c r="C13" s="62">
        <v>49786</v>
      </c>
      <c r="D13" s="43">
        <v>27439328</v>
      </c>
      <c r="E13" s="62">
        <v>77633</v>
      </c>
      <c r="F13" s="43">
        <v>390982148</v>
      </c>
      <c r="G13" s="62">
        <v>127419</v>
      </c>
      <c r="H13" s="41">
        <v>418421475</v>
      </c>
    </row>
    <row r="14" spans="1:8" s="2" customFormat="1" ht="30" customHeight="1" thickBot="1">
      <c r="A14" s="167"/>
      <c r="B14" s="61" t="s">
        <v>1</v>
      </c>
      <c r="C14" s="118">
        <v>3463</v>
      </c>
      <c r="D14" s="119">
        <v>2455326</v>
      </c>
      <c r="E14" s="118">
        <v>3944</v>
      </c>
      <c r="F14" s="119">
        <v>23361075</v>
      </c>
      <c r="G14" s="118">
        <v>7407</v>
      </c>
      <c r="H14" s="120">
        <v>25816401</v>
      </c>
    </row>
    <row r="15" spans="5:7" s="2" customFormat="1" ht="11.25">
      <c r="E15" s="60"/>
      <c r="G15" s="60"/>
    </row>
    <row r="16" spans="5:7" s="2" customFormat="1" ht="11.25">
      <c r="E16" s="60"/>
      <c r="G16" s="60"/>
    </row>
    <row r="17" spans="5:7" s="2" customFormat="1" ht="11.25">
      <c r="E17" s="60"/>
      <c r="G17" s="60"/>
    </row>
    <row r="18" spans="5:7" s="2" customFormat="1" ht="11.25">
      <c r="E18" s="60"/>
      <c r="G18" s="60"/>
    </row>
    <row r="19" spans="5:7" s="2" customFormat="1" ht="11.25">
      <c r="E19" s="60"/>
      <c r="G19" s="60"/>
    </row>
    <row r="20" spans="5:7" s="2" customFormat="1" ht="11.25">
      <c r="E20" s="60"/>
      <c r="G20" s="60"/>
    </row>
    <row r="21" spans="5:7" s="2" customFormat="1" ht="11.25">
      <c r="E21" s="60"/>
      <c r="G21" s="60"/>
    </row>
    <row r="22" spans="5:7" s="2" customFormat="1" ht="11.25">
      <c r="E22" s="60"/>
      <c r="G22" s="60"/>
    </row>
  </sheetData>
  <sheetProtection/>
  <mergeCells count="9">
    <mergeCell ref="A13:A14"/>
    <mergeCell ref="A2:B3"/>
    <mergeCell ref="C2:D2"/>
    <mergeCell ref="E2:F2"/>
    <mergeCell ref="G2:H2"/>
    <mergeCell ref="A5:A6"/>
    <mergeCell ref="A7:A8"/>
    <mergeCell ref="A9:A10"/>
    <mergeCell ref="A11:A12"/>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（H28）</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85" workbookViewId="0" topLeftCell="A1">
      <selection activeCell="A1" sqref="A1:K1"/>
    </sheetView>
  </sheetViews>
  <sheetFormatPr defaultColWidth="9.140625" defaultRowHeight="15"/>
  <cols>
    <col min="1" max="2" width="18.57421875" style="3" customWidth="1"/>
    <col min="3" max="3" width="23.57421875" style="3" customWidth="1"/>
    <col min="4" max="4" width="18.57421875" style="3" customWidth="1"/>
    <col min="5" max="5" width="3.140625" style="3" customWidth="1"/>
    <col min="6" max="16384" width="9.00390625" style="3" customWidth="1"/>
  </cols>
  <sheetData>
    <row r="1" s="69" customFormat="1" ht="15" customHeight="1" thickBot="1">
      <c r="A1" s="69" t="s">
        <v>71</v>
      </c>
    </row>
    <row r="2" spans="1:4" s="1" customFormat="1" ht="19.5" customHeight="1">
      <c r="A2" s="76" t="s">
        <v>72</v>
      </c>
      <c r="B2" s="77" t="s">
        <v>73</v>
      </c>
      <c r="C2" s="78" t="s">
        <v>74</v>
      </c>
      <c r="D2" s="79" t="s">
        <v>91</v>
      </c>
    </row>
    <row r="3" spans="1:4" s="69" customFormat="1" ht="15" customHeight="1">
      <c r="A3" s="80" t="s">
        <v>7</v>
      </c>
      <c r="B3" s="81" t="s">
        <v>7</v>
      </c>
      <c r="C3" s="82" t="s">
        <v>7</v>
      </c>
      <c r="D3" s="83" t="s">
        <v>7</v>
      </c>
    </row>
    <row r="4" spans="1:9" s="1" customFormat="1" ht="30" customHeight="1" thickBot="1">
      <c r="A4" s="139">
        <v>136691</v>
      </c>
      <c r="B4" s="140">
        <v>4156</v>
      </c>
      <c r="C4" s="141">
        <v>345</v>
      </c>
      <c r="D4" s="142">
        <v>141192</v>
      </c>
      <c r="E4" s="84"/>
      <c r="G4" s="84"/>
      <c r="I4" s="84"/>
    </row>
    <row r="5" spans="1:9" s="98" customFormat="1" ht="3" customHeight="1">
      <c r="A5" s="96"/>
      <c r="B5" s="96"/>
      <c r="C5" s="96"/>
      <c r="D5" s="96"/>
      <c r="E5" s="97"/>
      <c r="G5" s="97"/>
      <c r="I5" s="97"/>
    </row>
    <row r="6" spans="1:4" s="1" customFormat="1" ht="15" customHeight="1">
      <c r="A6" s="175" t="s">
        <v>108</v>
      </c>
      <c r="B6" s="175"/>
      <c r="C6" s="175"/>
      <c r="D6" s="175"/>
    </row>
    <row r="7" spans="1:5" s="1" customFormat="1" ht="15" customHeight="1">
      <c r="A7" s="176" t="s">
        <v>90</v>
      </c>
      <c r="B7" s="176"/>
      <c r="C7" s="176"/>
      <c r="D7" s="176"/>
      <c r="E7" s="176"/>
    </row>
  </sheetData>
  <sheetProtection/>
  <mergeCells count="2">
    <mergeCell ref="A6:D6"/>
    <mergeCell ref="A7:E7"/>
  </mergeCells>
  <printOptions horizontalCentered="1"/>
  <pageMargins left="0.8267716535433072" right="0.4330708661417323" top="0.984251968503937" bottom="0.984251968503937" header="0.5118110236220472" footer="0.5118110236220472"/>
  <pageSetup horizontalDpi="600" verticalDpi="600" orientation="portrait" paperSize="9" scale="90" r:id="rId1"/>
  <headerFooter alignWithMargins="0">
    <oddFooter>&amp;R&amp;9札幌国税局　
消費税
（H28）</oddFooter>
  </headerFooter>
</worksheet>
</file>

<file path=xl/worksheets/sheet4.xml><?xml version="1.0" encoding="utf-8"?>
<worksheet xmlns="http://schemas.openxmlformats.org/spreadsheetml/2006/main" xmlns:r="http://schemas.openxmlformats.org/officeDocument/2006/relationships">
  <dimension ref="A1:N53"/>
  <sheetViews>
    <sheetView zoomScaleSheetLayoutView="85" workbookViewId="0" topLeftCell="A1">
      <selection activeCell="A1" sqref="A1:K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3.5">
      <c r="A1" s="1" t="s">
        <v>110</v>
      </c>
      <c r="B1" s="1"/>
      <c r="C1" s="1"/>
      <c r="D1" s="1"/>
      <c r="E1" s="1"/>
      <c r="F1" s="1"/>
      <c r="G1" s="1"/>
      <c r="H1" s="2"/>
      <c r="I1" s="2"/>
      <c r="J1" s="2"/>
      <c r="K1" s="2"/>
      <c r="L1" s="2"/>
      <c r="M1" s="2"/>
      <c r="N1" s="2"/>
    </row>
    <row r="2" spans="1:14" ht="14.25" thickBot="1">
      <c r="A2" s="176" t="s">
        <v>0</v>
      </c>
      <c r="B2" s="176"/>
      <c r="C2" s="176"/>
      <c r="D2" s="176"/>
      <c r="E2" s="176"/>
      <c r="F2" s="176"/>
      <c r="G2" s="176"/>
      <c r="H2" s="2"/>
      <c r="I2" s="2"/>
      <c r="J2" s="2"/>
      <c r="K2" s="2"/>
      <c r="L2" s="2"/>
      <c r="M2" s="2"/>
      <c r="N2" s="2"/>
    </row>
    <row r="3" spans="1:14" ht="19.5" customHeight="1">
      <c r="A3" s="181" t="s">
        <v>75</v>
      </c>
      <c r="B3" s="184" t="s">
        <v>80</v>
      </c>
      <c r="C3" s="184"/>
      <c r="D3" s="184"/>
      <c r="E3" s="184"/>
      <c r="F3" s="184"/>
      <c r="G3" s="184"/>
      <c r="H3" s="177" t="s">
        <v>1</v>
      </c>
      <c r="I3" s="178"/>
      <c r="J3" s="192" t="s">
        <v>2</v>
      </c>
      <c r="K3" s="178"/>
      <c r="L3" s="177" t="s">
        <v>3</v>
      </c>
      <c r="M3" s="178"/>
      <c r="N3" s="185" t="s">
        <v>4</v>
      </c>
    </row>
    <row r="4" spans="1:14" ht="17.25" customHeight="1">
      <c r="A4" s="182"/>
      <c r="B4" s="188" t="s">
        <v>76</v>
      </c>
      <c r="C4" s="188"/>
      <c r="D4" s="189" t="s">
        <v>5</v>
      </c>
      <c r="E4" s="190"/>
      <c r="F4" s="179" t="s">
        <v>6</v>
      </c>
      <c r="G4" s="191"/>
      <c r="H4" s="179"/>
      <c r="I4" s="180"/>
      <c r="J4" s="179"/>
      <c r="K4" s="180"/>
      <c r="L4" s="179"/>
      <c r="M4" s="180"/>
      <c r="N4" s="186"/>
    </row>
    <row r="5" spans="1:14" s="4" customFormat="1" ht="28.5" customHeight="1">
      <c r="A5" s="183"/>
      <c r="B5" s="86" t="s">
        <v>77</v>
      </c>
      <c r="C5" s="26" t="s">
        <v>78</v>
      </c>
      <c r="D5" s="86" t="s">
        <v>97</v>
      </c>
      <c r="E5" s="26" t="s">
        <v>98</v>
      </c>
      <c r="F5" s="86" t="s">
        <v>77</v>
      </c>
      <c r="G5" s="26" t="s">
        <v>79</v>
      </c>
      <c r="H5" s="86" t="s">
        <v>77</v>
      </c>
      <c r="I5" s="27" t="s">
        <v>81</v>
      </c>
      <c r="J5" s="86" t="s">
        <v>77</v>
      </c>
      <c r="K5" s="27" t="s">
        <v>82</v>
      </c>
      <c r="L5" s="25" t="s">
        <v>77</v>
      </c>
      <c r="M5" s="28" t="s">
        <v>83</v>
      </c>
      <c r="N5" s="187"/>
    </row>
    <row r="6" spans="1:14" s="10" customFormat="1" ht="10.5">
      <c r="A6" s="5"/>
      <c r="B6" s="6" t="s">
        <v>7</v>
      </c>
      <c r="C6" s="7" t="s">
        <v>8</v>
      </c>
      <c r="D6" s="6" t="s">
        <v>7</v>
      </c>
      <c r="E6" s="7" t="s">
        <v>8</v>
      </c>
      <c r="F6" s="6" t="s">
        <v>7</v>
      </c>
      <c r="G6" s="7" t="s">
        <v>8</v>
      </c>
      <c r="H6" s="6" t="s">
        <v>7</v>
      </c>
      <c r="I6" s="8" t="s">
        <v>8</v>
      </c>
      <c r="J6" s="6" t="s">
        <v>7</v>
      </c>
      <c r="K6" s="8" t="s">
        <v>8</v>
      </c>
      <c r="L6" s="6" t="s">
        <v>109</v>
      </c>
      <c r="M6" s="8" t="s">
        <v>8</v>
      </c>
      <c r="N6" s="9"/>
    </row>
    <row r="7" spans="1:14" ht="18.75" customHeight="1">
      <c r="A7" s="11" t="s">
        <v>9</v>
      </c>
      <c r="B7" s="121">
        <f>_xlfn.COMPOUNDVALUE(1)</f>
        <v>394</v>
      </c>
      <c r="C7" s="122">
        <v>234256</v>
      </c>
      <c r="D7" s="121">
        <f>_xlfn.COMPOUNDVALUE(2)</f>
        <v>375</v>
      </c>
      <c r="E7" s="122">
        <v>209591</v>
      </c>
      <c r="F7" s="121">
        <f>_xlfn.COMPOUNDVALUE(3)</f>
        <v>769</v>
      </c>
      <c r="G7" s="122">
        <v>443847</v>
      </c>
      <c r="H7" s="121">
        <f>_xlfn.COMPOUNDVALUE(4)</f>
        <v>24</v>
      </c>
      <c r="I7" s="123">
        <v>13693</v>
      </c>
      <c r="J7" s="121">
        <v>80</v>
      </c>
      <c r="K7" s="123">
        <v>50103</v>
      </c>
      <c r="L7" s="121">
        <v>840</v>
      </c>
      <c r="M7" s="123">
        <v>480257</v>
      </c>
      <c r="N7" s="12" t="s">
        <v>9</v>
      </c>
    </row>
    <row r="8" spans="1:14" ht="18.75" customHeight="1">
      <c r="A8" s="11" t="s">
        <v>10</v>
      </c>
      <c r="B8" s="121">
        <f>_xlfn.COMPOUNDVALUE(5)</f>
        <v>1139</v>
      </c>
      <c r="C8" s="122">
        <v>592313</v>
      </c>
      <c r="D8" s="121">
        <f>_xlfn.COMPOUNDVALUE(6)</f>
        <v>1801</v>
      </c>
      <c r="E8" s="122">
        <v>753536</v>
      </c>
      <c r="F8" s="121">
        <f>_xlfn.COMPOUNDVALUE(7)</f>
        <v>2940</v>
      </c>
      <c r="G8" s="122">
        <v>1345849</v>
      </c>
      <c r="H8" s="121">
        <f>_xlfn.COMPOUNDVALUE(8)</f>
        <v>130</v>
      </c>
      <c r="I8" s="123">
        <v>88307</v>
      </c>
      <c r="J8" s="121">
        <v>253</v>
      </c>
      <c r="K8" s="123">
        <v>73729</v>
      </c>
      <c r="L8" s="121">
        <v>3217</v>
      </c>
      <c r="M8" s="123">
        <v>1331271</v>
      </c>
      <c r="N8" s="12" t="s">
        <v>10</v>
      </c>
    </row>
    <row r="9" spans="1:14" ht="18.75" customHeight="1">
      <c r="A9" s="11" t="s">
        <v>11</v>
      </c>
      <c r="B9" s="121">
        <f>_xlfn.COMPOUNDVALUE(9)</f>
        <v>1049</v>
      </c>
      <c r="C9" s="122">
        <v>647646</v>
      </c>
      <c r="D9" s="121">
        <f>_xlfn.COMPOUNDVALUE(10)</f>
        <v>1490</v>
      </c>
      <c r="E9" s="122">
        <v>672032</v>
      </c>
      <c r="F9" s="121">
        <f>_xlfn.COMPOUNDVALUE(11)</f>
        <v>2539</v>
      </c>
      <c r="G9" s="122">
        <v>1319678</v>
      </c>
      <c r="H9" s="121">
        <f>_xlfn.COMPOUNDVALUE(12)</f>
        <v>76</v>
      </c>
      <c r="I9" s="123">
        <v>50214</v>
      </c>
      <c r="J9" s="121">
        <v>251</v>
      </c>
      <c r="K9" s="123">
        <v>75146</v>
      </c>
      <c r="L9" s="121">
        <v>2776</v>
      </c>
      <c r="M9" s="123">
        <v>1344609</v>
      </c>
      <c r="N9" s="12" t="s">
        <v>11</v>
      </c>
    </row>
    <row r="10" spans="1:14" ht="18.75" customHeight="1">
      <c r="A10" s="11" t="s">
        <v>12</v>
      </c>
      <c r="B10" s="121">
        <f>_xlfn.COMPOUNDVALUE(13)</f>
        <v>1094</v>
      </c>
      <c r="C10" s="122">
        <v>729249</v>
      </c>
      <c r="D10" s="121">
        <f>_xlfn.COMPOUNDVALUE(14)</f>
        <v>1367</v>
      </c>
      <c r="E10" s="122">
        <v>695709</v>
      </c>
      <c r="F10" s="121">
        <f>_xlfn.COMPOUNDVALUE(15)</f>
        <v>2461</v>
      </c>
      <c r="G10" s="122">
        <v>1424958</v>
      </c>
      <c r="H10" s="121">
        <f>_xlfn.COMPOUNDVALUE(16)</f>
        <v>68</v>
      </c>
      <c r="I10" s="123">
        <v>31096</v>
      </c>
      <c r="J10" s="121">
        <v>231</v>
      </c>
      <c r="K10" s="123">
        <v>42445</v>
      </c>
      <c r="L10" s="121">
        <v>2642</v>
      </c>
      <c r="M10" s="123">
        <v>1436307</v>
      </c>
      <c r="N10" s="12" t="s">
        <v>12</v>
      </c>
    </row>
    <row r="11" spans="1:14" ht="18.75" customHeight="1">
      <c r="A11" s="11" t="s">
        <v>13</v>
      </c>
      <c r="B11" s="121">
        <f>_xlfn.COMPOUNDVALUE(17)</f>
        <v>686</v>
      </c>
      <c r="C11" s="122">
        <v>377031</v>
      </c>
      <c r="D11" s="121">
        <f>_xlfn.COMPOUNDVALUE(18)</f>
        <v>976</v>
      </c>
      <c r="E11" s="122">
        <v>414117</v>
      </c>
      <c r="F11" s="121">
        <f>_xlfn.COMPOUNDVALUE(19)</f>
        <v>1662</v>
      </c>
      <c r="G11" s="122">
        <v>791148</v>
      </c>
      <c r="H11" s="121">
        <f>_xlfn.COMPOUNDVALUE(20)</f>
        <v>76</v>
      </c>
      <c r="I11" s="123">
        <v>51416</v>
      </c>
      <c r="J11" s="121">
        <v>177</v>
      </c>
      <c r="K11" s="123">
        <v>38095</v>
      </c>
      <c r="L11" s="121">
        <v>1833</v>
      </c>
      <c r="M11" s="123">
        <v>777826</v>
      </c>
      <c r="N11" s="12" t="s">
        <v>13</v>
      </c>
    </row>
    <row r="12" spans="1:14" ht="18.75" customHeight="1">
      <c r="A12" s="11" t="s">
        <v>84</v>
      </c>
      <c r="B12" s="121">
        <f>_xlfn.COMPOUNDVALUE(21)</f>
        <v>975</v>
      </c>
      <c r="C12" s="122">
        <v>555347</v>
      </c>
      <c r="D12" s="121">
        <f>_xlfn.COMPOUNDVALUE(22)</f>
        <v>2408</v>
      </c>
      <c r="E12" s="122">
        <v>897790</v>
      </c>
      <c r="F12" s="121">
        <f>_xlfn.COMPOUNDVALUE(23)</f>
        <v>3383</v>
      </c>
      <c r="G12" s="122">
        <v>1453137</v>
      </c>
      <c r="H12" s="121">
        <f>_xlfn.COMPOUNDVALUE(24)</f>
        <v>37</v>
      </c>
      <c r="I12" s="123">
        <v>20149</v>
      </c>
      <c r="J12" s="121">
        <v>142</v>
      </c>
      <c r="K12" s="123">
        <v>20805</v>
      </c>
      <c r="L12" s="121">
        <v>3466</v>
      </c>
      <c r="M12" s="123">
        <v>1453793</v>
      </c>
      <c r="N12" s="12" t="s">
        <v>84</v>
      </c>
    </row>
    <row r="13" spans="1:14" ht="18.75" customHeight="1">
      <c r="A13" s="11" t="s">
        <v>14</v>
      </c>
      <c r="B13" s="121">
        <f>_xlfn.COMPOUNDVALUE(25)</f>
        <v>243</v>
      </c>
      <c r="C13" s="122">
        <v>114082</v>
      </c>
      <c r="D13" s="121">
        <f>_xlfn.COMPOUNDVALUE(26)</f>
        <v>339</v>
      </c>
      <c r="E13" s="122">
        <v>118477</v>
      </c>
      <c r="F13" s="121">
        <f>_xlfn.COMPOUNDVALUE(27)</f>
        <v>582</v>
      </c>
      <c r="G13" s="122">
        <v>232559</v>
      </c>
      <c r="H13" s="121">
        <f>_xlfn.COMPOUNDVALUE(28)</f>
        <v>14</v>
      </c>
      <c r="I13" s="123">
        <v>12921</v>
      </c>
      <c r="J13" s="121">
        <v>86</v>
      </c>
      <c r="K13" s="123">
        <v>12537</v>
      </c>
      <c r="L13" s="121">
        <v>626</v>
      </c>
      <c r="M13" s="123">
        <v>232175</v>
      </c>
      <c r="N13" s="12" t="s">
        <v>14</v>
      </c>
    </row>
    <row r="14" spans="1:14" ht="18.75" customHeight="1">
      <c r="A14" s="11" t="s">
        <v>15</v>
      </c>
      <c r="B14" s="121">
        <f>_xlfn.COMPOUNDVALUE(29)</f>
        <v>305</v>
      </c>
      <c r="C14" s="122">
        <v>165613</v>
      </c>
      <c r="D14" s="121">
        <f>_xlfn.COMPOUNDVALUE(30)</f>
        <v>611</v>
      </c>
      <c r="E14" s="122">
        <v>256118</v>
      </c>
      <c r="F14" s="121">
        <f>_xlfn.COMPOUNDVALUE(31)</f>
        <v>916</v>
      </c>
      <c r="G14" s="122">
        <v>421731</v>
      </c>
      <c r="H14" s="121">
        <f>_xlfn.COMPOUNDVALUE(32)</f>
        <v>14</v>
      </c>
      <c r="I14" s="123">
        <v>5103</v>
      </c>
      <c r="J14" s="121">
        <v>48</v>
      </c>
      <c r="K14" s="123">
        <v>21067</v>
      </c>
      <c r="L14" s="121">
        <v>956</v>
      </c>
      <c r="M14" s="123">
        <v>437695</v>
      </c>
      <c r="N14" s="12" t="s">
        <v>15</v>
      </c>
    </row>
    <row r="15" spans="1:14" ht="18.75" customHeight="1">
      <c r="A15" s="11" t="s">
        <v>16</v>
      </c>
      <c r="B15" s="121">
        <f>_xlfn.COMPOUNDVALUE(33)</f>
        <v>686</v>
      </c>
      <c r="C15" s="122">
        <v>332520</v>
      </c>
      <c r="D15" s="121">
        <f>_xlfn.COMPOUNDVALUE(34)</f>
        <v>1504</v>
      </c>
      <c r="E15" s="122">
        <v>558274</v>
      </c>
      <c r="F15" s="121">
        <f>_xlfn.COMPOUNDVALUE(35)</f>
        <v>2190</v>
      </c>
      <c r="G15" s="122">
        <v>890793</v>
      </c>
      <c r="H15" s="121">
        <f>_xlfn.COMPOUNDVALUE(36)</f>
        <v>86</v>
      </c>
      <c r="I15" s="123">
        <v>81528</v>
      </c>
      <c r="J15" s="121">
        <v>125</v>
      </c>
      <c r="K15" s="123">
        <v>22994</v>
      </c>
      <c r="L15" s="121">
        <v>2317</v>
      </c>
      <c r="M15" s="123">
        <v>832260</v>
      </c>
      <c r="N15" s="12" t="s">
        <v>16</v>
      </c>
    </row>
    <row r="16" spans="1:14" ht="18.75" customHeight="1">
      <c r="A16" s="11" t="s">
        <v>17</v>
      </c>
      <c r="B16" s="121">
        <f>_xlfn.COMPOUNDVALUE(37)</f>
        <v>370</v>
      </c>
      <c r="C16" s="122">
        <v>243509</v>
      </c>
      <c r="D16" s="121">
        <f>_xlfn.COMPOUNDVALUE(38)</f>
        <v>930</v>
      </c>
      <c r="E16" s="122">
        <v>387971</v>
      </c>
      <c r="F16" s="121">
        <f>_xlfn.COMPOUNDVALUE(39)</f>
        <v>1300</v>
      </c>
      <c r="G16" s="122">
        <v>631480</v>
      </c>
      <c r="H16" s="121">
        <f>_xlfn.COMPOUNDVALUE(40)</f>
        <v>32</v>
      </c>
      <c r="I16" s="123">
        <v>26961</v>
      </c>
      <c r="J16" s="121">
        <v>48</v>
      </c>
      <c r="K16" s="123">
        <v>11235</v>
      </c>
      <c r="L16" s="121">
        <v>1357</v>
      </c>
      <c r="M16" s="123">
        <v>615755</v>
      </c>
      <c r="N16" s="12" t="s">
        <v>17</v>
      </c>
    </row>
    <row r="17" spans="1:14" ht="18.75" customHeight="1">
      <c r="A17" s="11" t="s">
        <v>18</v>
      </c>
      <c r="B17" s="121">
        <f>_xlfn.COMPOUNDVALUE(41)</f>
        <v>1162</v>
      </c>
      <c r="C17" s="122">
        <v>991495</v>
      </c>
      <c r="D17" s="121">
        <f>_xlfn.COMPOUNDVALUE(42)</f>
        <v>1246</v>
      </c>
      <c r="E17" s="122">
        <v>522121</v>
      </c>
      <c r="F17" s="121">
        <f>_xlfn.COMPOUNDVALUE(43)</f>
        <v>2408</v>
      </c>
      <c r="G17" s="122">
        <v>1513616</v>
      </c>
      <c r="H17" s="121">
        <f>_xlfn.COMPOUNDVALUE(44)</f>
        <v>77</v>
      </c>
      <c r="I17" s="123">
        <v>71176</v>
      </c>
      <c r="J17" s="121">
        <v>175</v>
      </c>
      <c r="K17" s="123">
        <v>33487</v>
      </c>
      <c r="L17" s="121">
        <v>2569</v>
      </c>
      <c r="M17" s="123">
        <v>1475926</v>
      </c>
      <c r="N17" s="12" t="s">
        <v>18</v>
      </c>
    </row>
    <row r="18" spans="1:14" ht="18.75" customHeight="1">
      <c r="A18" s="11" t="s">
        <v>19</v>
      </c>
      <c r="B18" s="121">
        <f>_xlfn.COMPOUNDVALUE(45)</f>
        <v>2467</v>
      </c>
      <c r="C18" s="122">
        <v>2151590</v>
      </c>
      <c r="D18" s="121">
        <f>_xlfn.COMPOUNDVALUE(46)</f>
        <v>2165</v>
      </c>
      <c r="E18" s="122">
        <v>982724</v>
      </c>
      <c r="F18" s="121">
        <f>_xlfn.COMPOUNDVALUE(47)</f>
        <v>4632</v>
      </c>
      <c r="G18" s="122">
        <v>3134314</v>
      </c>
      <c r="H18" s="121">
        <f>_xlfn.COMPOUNDVALUE(48)</f>
        <v>860</v>
      </c>
      <c r="I18" s="123">
        <v>472213</v>
      </c>
      <c r="J18" s="121">
        <v>190</v>
      </c>
      <c r="K18" s="123">
        <v>30241</v>
      </c>
      <c r="L18" s="121">
        <v>5571</v>
      </c>
      <c r="M18" s="123">
        <v>2692342</v>
      </c>
      <c r="N18" s="12" t="s">
        <v>19</v>
      </c>
    </row>
    <row r="19" spans="1:14" ht="18.75" customHeight="1">
      <c r="A19" s="11" t="s">
        <v>20</v>
      </c>
      <c r="B19" s="121">
        <f>_xlfn.COMPOUNDVALUE(49)</f>
        <v>791</v>
      </c>
      <c r="C19" s="122">
        <v>886088</v>
      </c>
      <c r="D19" s="121">
        <f>_xlfn.COMPOUNDVALUE(50)</f>
        <v>1219</v>
      </c>
      <c r="E19" s="122">
        <v>534305</v>
      </c>
      <c r="F19" s="121">
        <f>_xlfn.COMPOUNDVALUE(51)</f>
        <v>2010</v>
      </c>
      <c r="G19" s="122">
        <v>1420393</v>
      </c>
      <c r="H19" s="121">
        <f>_xlfn.COMPOUNDVALUE(52)</f>
        <v>107</v>
      </c>
      <c r="I19" s="123">
        <v>87583</v>
      </c>
      <c r="J19" s="121">
        <v>117</v>
      </c>
      <c r="K19" s="123">
        <v>24821</v>
      </c>
      <c r="L19" s="121">
        <v>2179</v>
      </c>
      <c r="M19" s="123">
        <v>1357631</v>
      </c>
      <c r="N19" s="12" t="s">
        <v>20</v>
      </c>
    </row>
    <row r="20" spans="1:14" ht="18.75" customHeight="1">
      <c r="A20" s="11" t="s">
        <v>21</v>
      </c>
      <c r="B20" s="121">
        <f>_xlfn.COMPOUNDVALUE(53)</f>
        <v>386</v>
      </c>
      <c r="C20" s="122">
        <v>177144</v>
      </c>
      <c r="D20" s="121">
        <f>_xlfn.COMPOUNDVALUE(54)</f>
        <v>1887</v>
      </c>
      <c r="E20" s="122">
        <v>671211</v>
      </c>
      <c r="F20" s="121">
        <f>_xlfn.COMPOUNDVALUE(55)</f>
        <v>2273</v>
      </c>
      <c r="G20" s="122">
        <v>848355</v>
      </c>
      <c r="H20" s="121">
        <f>_xlfn.COMPOUNDVALUE(56)</f>
        <v>160</v>
      </c>
      <c r="I20" s="123">
        <v>89360</v>
      </c>
      <c r="J20" s="121">
        <v>118</v>
      </c>
      <c r="K20" s="123">
        <v>14723</v>
      </c>
      <c r="L20" s="121">
        <v>2468</v>
      </c>
      <c r="M20" s="123">
        <v>773718</v>
      </c>
      <c r="N20" s="12" t="s">
        <v>21</v>
      </c>
    </row>
    <row r="21" spans="1:14" ht="18.75" customHeight="1">
      <c r="A21" s="11" t="s">
        <v>22</v>
      </c>
      <c r="B21" s="121">
        <f>_xlfn.COMPOUNDVALUE(57)</f>
        <v>745</v>
      </c>
      <c r="C21" s="122">
        <v>485631</v>
      </c>
      <c r="D21" s="121">
        <f>_xlfn.COMPOUNDVALUE(58)</f>
        <v>1108</v>
      </c>
      <c r="E21" s="122">
        <v>473017</v>
      </c>
      <c r="F21" s="121">
        <f>_xlfn.COMPOUNDVALUE(59)</f>
        <v>1853</v>
      </c>
      <c r="G21" s="122">
        <v>958647</v>
      </c>
      <c r="H21" s="121">
        <f>_xlfn.COMPOUNDVALUE(60)</f>
        <v>616</v>
      </c>
      <c r="I21" s="123">
        <v>221304</v>
      </c>
      <c r="J21" s="121">
        <v>86</v>
      </c>
      <c r="K21" s="123">
        <v>13362</v>
      </c>
      <c r="L21" s="121">
        <v>2509</v>
      </c>
      <c r="M21" s="123">
        <v>750706</v>
      </c>
      <c r="N21" s="12" t="s">
        <v>22</v>
      </c>
    </row>
    <row r="22" spans="1:14" ht="18.75" customHeight="1">
      <c r="A22" s="11" t="s">
        <v>23</v>
      </c>
      <c r="B22" s="121">
        <f>_xlfn.COMPOUNDVALUE(61)</f>
        <v>150</v>
      </c>
      <c r="C22" s="122">
        <v>126764</v>
      </c>
      <c r="D22" s="121">
        <f>_xlfn.COMPOUNDVALUE(62)</f>
        <v>466</v>
      </c>
      <c r="E22" s="122">
        <v>173761</v>
      </c>
      <c r="F22" s="121">
        <f>_xlfn.COMPOUNDVALUE(63)</f>
        <v>616</v>
      </c>
      <c r="G22" s="122">
        <v>300525</v>
      </c>
      <c r="H22" s="121">
        <f>_xlfn.COMPOUNDVALUE(64)</f>
        <v>16</v>
      </c>
      <c r="I22" s="123">
        <v>10393</v>
      </c>
      <c r="J22" s="121">
        <v>14</v>
      </c>
      <c r="K22" s="123">
        <v>2984</v>
      </c>
      <c r="L22" s="121">
        <v>641</v>
      </c>
      <c r="M22" s="123">
        <v>293115</v>
      </c>
      <c r="N22" s="12" t="s">
        <v>23</v>
      </c>
    </row>
    <row r="23" spans="1:14" ht="18.75" customHeight="1">
      <c r="A23" s="11" t="s">
        <v>24</v>
      </c>
      <c r="B23" s="121">
        <f>_xlfn.COMPOUNDVALUE(65)</f>
        <v>593</v>
      </c>
      <c r="C23" s="122">
        <v>444376</v>
      </c>
      <c r="D23" s="121">
        <f>_xlfn.COMPOUNDVALUE(66)</f>
        <v>1402</v>
      </c>
      <c r="E23" s="122">
        <v>583138</v>
      </c>
      <c r="F23" s="121">
        <f>_xlfn.COMPOUNDVALUE(67)</f>
        <v>1995</v>
      </c>
      <c r="G23" s="122">
        <v>1027514</v>
      </c>
      <c r="H23" s="121">
        <f>_xlfn.COMPOUNDVALUE(68)</f>
        <v>69</v>
      </c>
      <c r="I23" s="123">
        <v>35351</v>
      </c>
      <c r="J23" s="121">
        <v>86</v>
      </c>
      <c r="K23" s="123">
        <v>15134</v>
      </c>
      <c r="L23" s="121">
        <v>2109</v>
      </c>
      <c r="M23" s="123">
        <v>1007296</v>
      </c>
      <c r="N23" s="12" t="s">
        <v>24</v>
      </c>
    </row>
    <row r="24" spans="1:14" ht="18.75" customHeight="1">
      <c r="A24" s="13" t="s">
        <v>25</v>
      </c>
      <c r="B24" s="124">
        <f>_xlfn.COMPOUNDVALUE(69)</f>
        <v>906</v>
      </c>
      <c r="C24" s="125">
        <v>1238585</v>
      </c>
      <c r="D24" s="124">
        <f>_xlfn.COMPOUNDVALUE(70)</f>
        <v>1243</v>
      </c>
      <c r="E24" s="125">
        <v>663260</v>
      </c>
      <c r="F24" s="124">
        <f>_xlfn.COMPOUNDVALUE(71)</f>
        <v>2149</v>
      </c>
      <c r="G24" s="125">
        <v>1901844</v>
      </c>
      <c r="H24" s="124">
        <f>_xlfn.COMPOUNDVALUE(72)</f>
        <v>54</v>
      </c>
      <c r="I24" s="126">
        <v>68070</v>
      </c>
      <c r="J24" s="124">
        <v>70</v>
      </c>
      <c r="K24" s="126">
        <v>10040</v>
      </c>
      <c r="L24" s="124">
        <v>2224</v>
      </c>
      <c r="M24" s="126">
        <v>1843814</v>
      </c>
      <c r="N24" s="14" t="s">
        <v>25</v>
      </c>
    </row>
    <row r="25" spans="1:14" ht="18.75" customHeight="1">
      <c r="A25" s="13" t="s">
        <v>26</v>
      </c>
      <c r="B25" s="124">
        <f>_xlfn.COMPOUNDVALUE(73)</f>
        <v>713</v>
      </c>
      <c r="C25" s="125">
        <v>791147</v>
      </c>
      <c r="D25" s="124">
        <f>_xlfn.COMPOUNDVALUE(74)</f>
        <v>784</v>
      </c>
      <c r="E25" s="125">
        <v>397003</v>
      </c>
      <c r="F25" s="124">
        <f>_xlfn.COMPOUNDVALUE(75)</f>
        <v>1497</v>
      </c>
      <c r="G25" s="125">
        <v>1188150</v>
      </c>
      <c r="H25" s="124">
        <f>_xlfn.COMPOUNDVALUE(76)</f>
        <v>56</v>
      </c>
      <c r="I25" s="126">
        <v>40268</v>
      </c>
      <c r="J25" s="124">
        <v>72</v>
      </c>
      <c r="K25" s="126">
        <v>5785</v>
      </c>
      <c r="L25" s="124">
        <v>1567</v>
      </c>
      <c r="M25" s="126">
        <v>1153667</v>
      </c>
      <c r="N25" s="14" t="s">
        <v>26</v>
      </c>
    </row>
    <row r="26" spans="1:14" ht="18.75" customHeight="1">
      <c r="A26" s="13" t="s">
        <v>27</v>
      </c>
      <c r="B26" s="124">
        <f>_xlfn.COMPOUNDVALUE(77)</f>
        <v>384</v>
      </c>
      <c r="C26" s="125">
        <v>192116</v>
      </c>
      <c r="D26" s="124">
        <f>_xlfn.COMPOUNDVALUE(78)</f>
        <v>740</v>
      </c>
      <c r="E26" s="125">
        <v>253202</v>
      </c>
      <c r="F26" s="124">
        <f>_xlfn.COMPOUNDVALUE(79)</f>
        <v>1124</v>
      </c>
      <c r="G26" s="125">
        <v>445318</v>
      </c>
      <c r="H26" s="124">
        <f>_xlfn.COMPOUNDVALUE(80)</f>
        <v>142</v>
      </c>
      <c r="I26" s="126">
        <v>77843</v>
      </c>
      <c r="J26" s="124">
        <v>45</v>
      </c>
      <c r="K26" s="126">
        <v>2446</v>
      </c>
      <c r="L26" s="124">
        <v>1287</v>
      </c>
      <c r="M26" s="126">
        <v>369921</v>
      </c>
      <c r="N26" s="14" t="s">
        <v>27</v>
      </c>
    </row>
    <row r="27" spans="1:14" ht="18.75" customHeight="1">
      <c r="A27" s="13" t="s">
        <v>28</v>
      </c>
      <c r="B27" s="124">
        <f>_xlfn.COMPOUNDVALUE(81)</f>
        <v>1010</v>
      </c>
      <c r="C27" s="125">
        <v>1113537</v>
      </c>
      <c r="D27" s="124">
        <f>_xlfn.COMPOUNDVALUE(82)</f>
        <v>1499</v>
      </c>
      <c r="E27" s="125">
        <v>708678</v>
      </c>
      <c r="F27" s="124">
        <f>_xlfn.COMPOUNDVALUE(83)</f>
        <v>2509</v>
      </c>
      <c r="G27" s="125">
        <v>1822216</v>
      </c>
      <c r="H27" s="124">
        <f>_xlfn.COMPOUNDVALUE(84)</f>
        <v>84</v>
      </c>
      <c r="I27" s="126">
        <v>104365</v>
      </c>
      <c r="J27" s="124">
        <v>81</v>
      </c>
      <c r="K27" s="126">
        <v>9787</v>
      </c>
      <c r="L27" s="124">
        <v>2626</v>
      </c>
      <c r="M27" s="126">
        <v>1727637</v>
      </c>
      <c r="N27" s="14" t="s">
        <v>28</v>
      </c>
    </row>
    <row r="28" spans="1:14" ht="18.75" customHeight="1">
      <c r="A28" s="13" t="s">
        <v>29</v>
      </c>
      <c r="B28" s="124">
        <f>_xlfn.COMPOUNDVALUE(85)</f>
        <v>155</v>
      </c>
      <c r="C28" s="125">
        <v>76431</v>
      </c>
      <c r="D28" s="124">
        <f>_xlfn.COMPOUNDVALUE(86)</f>
        <v>712</v>
      </c>
      <c r="E28" s="125">
        <v>267113</v>
      </c>
      <c r="F28" s="124">
        <f>_xlfn.COMPOUNDVALUE(87)</f>
        <v>867</v>
      </c>
      <c r="G28" s="125">
        <v>343544</v>
      </c>
      <c r="H28" s="124">
        <f>_xlfn.COMPOUNDVALUE(88)</f>
        <v>8</v>
      </c>
      <c r="I28" s="126">
        <v>2702</v>
      </c>
      <c r="J28" s="124">
        <v>61</v>
      </c>
      <c r="K28" s="126">
        <v>3551</v>
      </c>
      <c r="L28" s="124">
        <v>886</v>
      </c>
      <c r="M28" s="126">
        <v>344393</v>
      </c>
      <c r="N28" s="14" t="s">
        <v>29</v>
      </c>
    </row>
    <row r="29" spans="1:14" ht="18.75" customHeight="1">
      <c r="A29" s="13" t="s">
        <v>30</v>
      </c>
      <c r="B29" s="124">
        <f>_xlfn.COMPOUNDVALUE(89)</f>
        <v>107</v>
      </c>
      <c r="C29" s="125">
        <v>61404</v>
      </c>
      <c r="D29" s="124">
        <f>_xlfn.COMPOUNDVALUE(90)</f>
        <v>952</v>
      </c>
      <c r="E29" s="125">
        <v>359655</v>
      </c>
      <c r="F29" s="124">
        <f>_xlfn.COMPOUNDVALUE(91)</f>
        <v>1059</v>
      </c>
      <c r="G29" s="125">
        <v>421059</v>
      </c>
      <c r="H29" s="124">
        <f>_xlfn.COMPOUNDVALUE(92)</f>
        <v>30</v>
      </c>
      <c r="I29" s="126">
        <v>13705</v>
      </c>
      <c r="J29" s="124">
        <v>72</v>
      </c>
      <c r="K29" s="126">
        <v>3291</v>
      </c>
      <c r="L29" s="124">
        <v>1097</v>
      </c>
      <c r="M29" s="126">
        <v>410644</v>
      </c>
      <c r="N29" s="14" t="s">
        <v>30</v>
      </c>
    </row>
    <row r="30" spans="1:14" ht="18.75" customHeight="1">
      <c r="A30" s="13" t="s">
        <v>31</v>
      </c>
      <c r="B30" s="124">
        <f>_xlfn.COMPOUNDVALUE(93)</f>
        <v>192</v>
      </c>
      <c r="C30" s="125">
        <v>145555</v>
      </c>
      <c r="D30" s="124">
        <f>_xlfn.COMPOUNDVALUE(94)</f>
        <v>700</v>
      </c>
      <c r="E30" s="125">
        <v>265206</v>
      </c>
      <c r="F30" s="124">
        <f>_xlfn.COMPOUNDVALUE(95)</f>
        <v>892</v>
      </c>
      <c r="G30" s="125">
        <v>410762</v>
      </c>
      <c r="H30" s="124">
        <f>_xlfn.COMPOUNDVALUE(96)</f>
        <v>44</v>
      </c>
      <c r="I30" s="126">
        <v>29382</v>
      </c>
      <c r="J30" s="124">
        <v>21</v>
      </c>
      <c r="K30" s="126">
        <v>1446</v>
      </c>
      <c r="L30" s="124">
        <v>943</v>
      </c>
      <c r="M30" s="126">
        <v>382826</v>
      </c>
      <c r="N30" s="14" t="s">
        <v>31</v>
      </c>
    </row>
    <row r="31" spans="1:14" ht="18.75" customHeight="1">
      <c r="A31" s="13" t="s">
        <v>32</v>
      </c>
      <c r="B31" s="124">
        <f>_xlfn.COMPOUNDVALUE(97)</f>
        <v>314</v>
      </c>
      <c r="C31" s="125">
        <v>352831</v>
      </c>
      <c r="D31" s="124">
        <f>_xlfn.COMPOUNDVALUE(98)</f>
        <v>1060</v>
      </c>
      <c r="E31" s="125">
        <v>452300</v>
      </c>
      <c r="F31" s="124">
        <f>_xlfn.COMPOUNDVALUE(99)</f>
        <v>1374</v>
      </c>
      <c r="G31" s="125">
        <v>805131</v>
      </c>
      <c r="H31" s="124">
        <f>_xlfn.COMPOUNDVALUE(100)</f>
        <v>26</v>
      </c>
      <c r="I31" s="126">
        <v>36456</v>
      </c>
      <c r="J31" s="124">
        <v>41</v>
      </c>
      <c r="K31" s="126">
        <v>4704</v>
      </c>
      <c r="L31" s="124">
        <v>1411</v>
      </c>
      <c r="M31" s="126">
        <v>773379</v>
      </c>
      <c r="N31" s="14" t="s">
        <v>32</v>
      </c>
    </row>
    <row r="32" spans="1:14" ht="18.75" customHeight="1">
      <c r="A32" s="13" t="s">
        <v>33</v>
      </c>
      <c r="B32" s="124">
        <f>_xlfn.COMPOUNDVALUE(101)</f>
        <v>65</v>
      </c>
      <c r="C32" s="125">
        <v>27692</v>
      </c>
      <c r="D32" s="124">
        <f>_xlfn.COMPOUNDVALUE(102)</f>
        <v>227</v>
      </c>
      <c r="E32" s="125">
        <v>71913</v>
      </c>
      <c r="F32" s="124">
        <f>_xlfn.COMPOUNDVALUE(103)</f>
        <v>292</v>
      </c>
      <c r="G32" s="125">
        <v>99605</v>
      </c>
      <c r="H32" s="124">
        <f>_xlfn.COMPOUNDVALUE(104)</f>
        <v>14</v>
      </c>
      <c r="I32" s="126">
        <v>28143</v>
      </c>
      <c r="J32" s="124">
        <v>17</v>
      </c>
      <c r="K32" s="126">
        <v>1901</v>
      </c>
      <c r="L32" s="124">
        <v>312</v>
      </c>
      <c r="M32" s="126">
        <v>73363</v>
      </c>
      <c r="N32" s="14" t="s">
        <v>33</v>
      </c>
    </row>
    <row r="33" spans="1:14" ht="18.75" customHeight="1">
      <c r="A33" s="13" t="s">
        <v>34</v>
      </c>
      <c r="B33" s="124">
        <f>_xlfn.COMPOUNDVALUE(105)</f>
        <v>460</v>
      </c>
      <c r="C33" s="125">
        <v>226643</v>
      </c>
      <c r="D33" s="124">
        <f>_xlfn.COMPOUNDVALUE(106)</f>
        <v>911</v>
      </c>
      <c r="E33" s="125">
        <v>405423</v>
      </c>
      <c r="F33" s="124">
        <f>_xlfn.COMPOUNDVALUE(107)</f>
        <v>1371</v>
      </c>
      <c r="G33" s="125">
        <v>632066</v>
      </c>
      <c r="H33" s="124">
        <f>_xlfn.COMPOUNDVALUE(108)</f>
        <v>132</v>
      </c>
      <c r="I33" s="126">
        <v>465359</v>
      </c>
      <c r="J33" s="124">
        <v>69</v>
      </c>
      <c r="K33" s="126">
        <v>7541</v>
      </c>
      <c r="L33" s="124">
        <v>1524</v>
      </c>
      <c r="M33" s="126">
        <v>174248</v>
      </c>
      <c r="N33" s="14" t="s">
        <v>34</v>
      </c>
    </row>
    <row r="34" spans="1:14" ht="18.75" customHeight="1">
      <c r="A34" s="13" t="s">
        <v>35</v>
      </c>
      <c r="B34" s="124">
        <f>_xlfn.COMPOUNDVALUE(109)</f>
        <v>86</v>
      </c>
      <c r="C34" s="125">
        <v>68310</v>
      </c>
      <c r="D34" s="124">
        <f>_xlfn.COMPOUNDVALUE(110)</f>
        <v>380</v>
      </c>
      <c r="E34" s="125">
        <v>137201</v>
      </c>
      <c r="F34" s="124">
        <f>_xlfn.COMPOUNDVALUE(111)</f>
        <v>466</v>
      </c>
      <c r="G34" s="125">
        <v>205511</v>
      </c>
      <c r="H34" s="124">
        <f>_xlfn.COMPOUNDVALUE(112)</f>
        <v>5</v>
      </c>
      <c r="I34" s="126">
        <v>263</v>
      </c>
      <c r="J34" s="124">
        <v>47</v>
      </c>
      <c r="K34" s="126">
        <v>1693</v>
      </c>
      <c r="L34" s="124">
        <v>478</v>
      </c>
      <c r="M34" s="126">
        <v>206941</v>
      </c>
      <c r="N34" s="14" t="s">
        <v>35</v>
      </c>
    </row>
    <row r="35" spans="1:14" ht="18.75" customHeight="1">
      <c r="A35" s="13" t="s">
        <v>36</v>
      </c>
      <c r="B35" s="124">
        <f>_xlfn.COMPOUNDVALUE(113)</f>
        <v>328</v>
      </c>
      <c r="C35" s="125">
        <v>241092</v>
      </c>
      <c r="D35" s="124">
        <f>_xlfn.COMPOUNDVALUE(114)</f>
        <v>555</v>
      </c>
      <c r="E35" s="125">
        <v>223609</v>
      </c>
      <c r="F35" s="124">
        <f>_xlfn.COMPOUNDVALUE(115)</f>
        <v>883</v>
      </c>
      <c r="G35" s="125">
        <v>464701</v>
      </c>
      <c r="H35" s="124">
        <f>_xlfn.COMPOUNDVALUE(116)</f>
        <v>32</v>
      </c>
      <c r="I35" s="126">
        <v>28213</v>
      </c>
      <c r="J35" s="124">
        <v>25</v>
      </c>
      <c r="K35" s="126">
        <v>4425</v>
      </c>
      <c r="L35" s="124">
        <v>929</v>
      </c>
      <c r="M35" s="126">
        <v>440914</v>
      </c>
      <c r="N35" s="14" t="s">
        <v>36</v>
      </c>
    </row>
    <row r="36" spans="1:14" s="15" customFormat="1" ht="18.75" customHeight="1" thickBot="1">
      <c r="A36" s="87" t="s">
        <v>37</v>
      </c>
      <c r="B36" s="127">
        <f>_xlfn.COMPOUNDVALUE(117)</f>
        <v>504</v>
      </c>
      <c r="C36" s="128">
        <v>435685</v>
      </c>
      <c r="D36" s="127">
        <f>_xlfn.COMPOUNDVALUE(118)</f>
        <v>270</v>
      </c>
      <c r="E36" s="128">
        <v>105193</v>
      </c>
      <c r="F36" s="127">
        <f>_xlfn.COMPOUNDVALUE(119)</f>
        <v>774</v>
      </c>
      <c r="G36" s="128">
        <v>540878</v>
      </c>
      <c r="H36" s="127">
        <f>_xlfn.COMPOUNDVALUE(120)</f>
        <v>374</v>
      </c>
      <c r="I36" s="129">
        <v>191789</v>
      </c>
      <c r="J36" s="127">
        <v>32</v>
      </c>
      <c r="K36" s="129">
        <v>108</v>
      </c>
      <c r="L36" s="127">
        <v>1152</v>
      </c>
      <c r="M36" s="129">
        <v>349197</v>
      </c>
      <c r="N36" s="85" t="s">
        <v>37</v>
      </c>
    </row>
    <row r="37" spans="1:14" ht="18.75" customHeight="1" thickBot="1" thickTop="1">
      <c r="A37" s="16" t="s">
        <v>43</v>
      </c>
      <c r="B37" s="130">
        <v>18459</v>
      </c>
      <c r="C37" s="131">
        <v>14225682</v>
      </c>
      <c r="D37" s="130">
        <v>31327</v>
      </c>
      <c r="E37" s="131">
        <v>13213646</v>
      </c>
      <c r="F37" s="130">
        <v>49786</v>
      </c>
      <c r="G37" s="131">
        <v>27439328</v>
      </c>
      <c r="H37" s="130">
        <v>3463</v>
      </c>
      <c r="I37" s="132">
        <v>2455326</v>
      </c>
      <c r="J37" s="130">
        <v>2880</v>
      </c>
      <c r="K37" s="132">
        <v>559624</v>
      </c>
      <c r="L37" s="130">
        <v>54512</v>
      </c>
      <c r="M37" s="132">
        <v>25543626</v>
      </c>
      <c r="N37" s="17" t="str">
        <f>IF(A37="","",A37)</f>
        <v>合　　計</v>
      </c>
    </row>
    <row r="38" spans="1:14" ht="3" customHeight="1">
      <c r="A38" s="31"/>
      <c r="B38" s="32"/>
      <c r="C38" s="32"/>
      <c r="D38" s="32"/>
      <c r="E38" s="32"/>
      <c r="F38" s="32"/>
      <c r="G38" s="32"/>
      <c r="H38" s="32"/>
      <c r="I38" s="32"/>
      <c r="J38" s="32"/>
      <c r="K38" s="32"/>
      <c r="L38" s="32"/>
      <c r="M38" s="32"/>
      <c r="N38" s="31"/>
    </row>
    <row r="39" spans="1:14" ht="13.5">
      <c r="A39" s="175" t="s">
        <v>102</v>
      </c>
      <c r="B39" s="175"/>
      <c r="C39" s="175"/>
      <c r="D39" s="175"/>
      <c r="E39" s="175"/>
      <c r="F39" s="175"/>
      <c r="G39" s="175"/>
      <c r="H39" s="175"/>
      <c r="I39" s="175"/>
      <c r="J39" s="18"/>
      <c r="K39" s="18"/>
      <c r="L39" s="2"/>
      <c r="M39" s="2"/>
      <c r="N39" s="2"/>
    </row>
    <row r="41" spans="2:10" ht="13.5">
      <c r="B41" s="19"/>
      <c r="C41" s="19"/>
      <c r="D41" s="19"/>
      <c r="E41" s="19"/>
      <c r="F41" s="19"/>
      <c r="G41" s="19"/>
      <c r="H41" s="19"/>
      <c r="J41" s="19"/>
    </row>
    <row r="42" spans="2:10" ht="13.5">
      <c r="B42" s="19"/>
      <c r="C42" s="19"/>
      <c r="D42" s="19"/>
      <c r="E42" s="19"/>
      <c r="F42" s="19"/>
      <c r="G42" s="19"/>
      <c r="H42" s="19"/>
      <c r="J42" s="19"/>
    </row>
    <row r="43" spans="2:10" ht="13.5">
      <c r="B43" s="19"/>
      <c r="C43" s="19"/>
      <c r="D43" s="19"/>
      <c r="E43" s="19"/>
      <c r="F43" s="19"/>
      <c r="G43" s="19"/>
      <c r="H43" s="19"/>
      <c r="J43" s="19"/>
    </row>
    <row r="44" spans="2:10" ht="13.5">
      <c r="B44" s="19"/>
      <c r="C44" s="19"/>
      <c r="D44" s="19"/>
      <c r="E44" s="19"/>
      <c r="F44" s="19"/>
      <c r="G44" s="19"/>
      <c r="H44" s="19"/>
      <c r="J44" s="19"/>
    </row>
    <row r="45" spans="2:10" ht="13.5">
      <c r="B45" s="19"/>
      <c r="C45" s="19"/>
      <c r="D45" s="19"/>
      <c r="E45" s="19"/>
      <c r="F45" s="19"/>
      <c r="G45" s="19"/>
      <c r="H45" s="19"/>
      <c r="J45" s="19"/>
    </row>
    <row r="46" spans="2:10" ht="13.5">
      <c r="B46" s="19"/>
      <c r="C46" s="19"/>
      <c r="D46" s="19"/>
      <c r="E46" s="19"/>
      <c r="F46" s="19"/>
      <c r="G46" s="19"/>
      <c r="H46" s="19"/>
      <c r="J46" s="19"/>
    </row>
    <row r="47" spans="2:10" ht="13.5">
      <c r="B47" s="19"/>
      <c r="C47" s="19"/>
      <c r="D47" s="19"/>
      <c r="E47" s="19"/>
      <c r="F47" s="19"/>
      <c r="G47" s="19"/>
      <c r="H47" s="19"/>
      <c r="J47" s="19"/>
    </row>
    <row r="48" spans="2:10" ht="13.5">
      <c r="B48" s="19"/>
      <c r="C48" s="19"/>
      <c r="D48" s="19"/>
      <c r="E48" s="19"/>
      <c r="F48" s="19"/>
      <c r="G48" s="19"/>
      <c r="H48" s="19"/>
      <c r="J48" s="19"/>
    </row>
    <row r="49" spans="2:10" ht="13.5">
      <c r="B49" s="19"/>
      <c r="C49" s="19"/>
      <c r="D49" s="19"/>
      <c r="E49" s="19"/>
      <c r="F49" s="19"/>
      <c r="G49" s="19"/>
      <c r="H49" s="19"/>
      <c r="J49" s="19"/>
    </row>
    <row r="50" spans="2:10" ht="13.5">
      <c r="B50" s="19"/>
      <c r="C50" s="19"/>
      <c r="D50" s="19"/>
      <c r="E50" s="19"/>
      <c r="F50" s="19"/>
      <c r="G50" s="19"/>
      <c r="H50" s="19"/>
      <c r="J50" s="19"/>
    </row>
    <row r="51" spans="2:10" ht="13.5">
      <c r="B51" s="19"/>
      <c r="C51" s="19"/>
      <c r="D51" s="19"/>
      <c r="E51" s="19"/>
      <c r="F51" s="19"/>
      <c r="G51" s="19"/>
      <c r="H51" s="19"/>
      <c r="J51" s="19"/>
    </row>
    <row r="52" spans="2:10" ht="13.5">
      <c r="B52" s="19"/>
      <c r="C52" s="19"/>
      <c r="D52" s="19"/>
      <c r="E52" s="19"/>
      <c r="F52" s="19"/>
      <c r="G52" s="19"/>
      <c r="H52" s="19"/>
      <c r="J52" s="19"/>
    </row>
    <row r="53" spans="2:10" ht="13.5">
      <c r="B53" s="19"/>
      <c r="C53" s="19"/>
      <c r="D53" s="19"/>
      <c r="E53" s="19"/>
      <c r="F53" s="19"/>
      <c r="G53" s="19"/>
      <c r="H53" s="19"/>
      <c r="J53" s="19"/>
    </row>
  </sheetData>
  <sheetProtection/>
  <mergeCells count="11">
    <mergeCell ref="N3:N5"/>
    <mergeCell ref="B4:C4"/>
    <mergeCell ref="D4:E4"/>
    <mergeCell ref="F4:G4"/>
    <mergeCell ref="J3:K4"/>
    <mergeCell ref="L3:M4"/>
    <mergeCell ref="A39:I39"/>
    <mergeCell ref="A2:G2"/>
    <mergeCell ref="A3:A5"/>
    <mergeCell ref="B3:G3"/>
    <mergeCell ref="H3:I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（H28）</oddFooter>
  </headerFooter>
</worksheet>
</file>

<file path=xl/worksheets/sheet5.xml><?xml version="1.0" encoding="utf-8"?>
<worksheet xmlns="http://schemas.openxmlformats.org/spreadsheetml/2006/main" xmlns:r="http://schemas.openxmlformats.org/officeDocument/2006/relationships">
  <dimension ref="A1:N39"/>
  <sheetViews>
    <sheetView zoomScaleSheetLayoutView="85" workbookViewId="0" topLeftCell="A1">
      <selection activeCell="A1" sqref="A1:K1"/>
    </sheetView>
  </sheetViews>
  <sheetFormatPr defaultColWidth="9.14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3.5">
      <c r="A1" s="1" t="s">
        <v>111</v>
      </c>
      <c r="B1" s="1"/>
      <c r="C1" s="1"/>
      <c r="D1" s="1"/>
      <c r="E1" s="1"/>
      <c r="F1" s="1"/>
      <c r="G1" s="1"/>
      <c r="H1" s="1"/>
      <c r="I1" s="1"/>
      <c r="J1" s="1"/>
      <c r="K1" s="1"/>
      <c r="L1" s="2"/>
      <c r="M1" s="2"/>
    </row>
    <row r="2" spans="1:13" ht="14.25" thickBot="1">
      <c r="A2" s="193" t="s">
        <v>38</v>
      </c>
      <c r="B2" s="193"/>
      <c r="C2" s="193"/>
      <c r="D2" s="193"/>
      <c r="E2" s="193"/>
      <c r="F2" s="193"/>
      <c r="G2" s="193"/>
      <c r="H2" s="193"/>
      <c r="I2" s="193"/>
      <c r="J2" s="18"/>
      <c r="K2" s="18"/>
      <c r="L2" s="2"/>
      <c r="M2" s="2"/>
    </row>
    <row r="3" spans="1:14" ht="19.5" customHeight="1">
      <c r="A3" s="181" t="s">
        <v>75</v>
      </c>
      <c r="B3" s="184" t="s">
        <v>80</v>
      </c>
      <c r="C3" s="184"/>
      <c r="D3" s="184"/>
      <c r="E3" s="184"/>
      <c r="F3" s="184"/>
      <c r="G3" s="184"/>
      <c r="H3" s="177" t="s">
        <v>1</v>
      </c>
      <c r="I3" s="178"/>
      <c r="J3" s="192" t="s">
        <v>2</v>
      </c>
      <c r="K3" s="178"/>
      <c r="L3" s="177" t="s">
        <v>3</v>
      </c>
      <c r="M3" s="178"/>
      <c r="N3" s="185" t="s">
        <v>39</v>
      </c>
    </row>
    <row r="4" spans="1:14" ht="17.25" customHeight="1">
      <c r="A4" s="182"/>
      <c r="B4" s="179" t="s">
        <v>76</v>
      </c>
      <c r="C4" s="191"/>
      <c r="D4" s="179" t="s">
        <v>5</v>
      </c>
      <c r="E4" s="191"/>
      <c r="F4" s="179" t="s">
        <v>6</v>
      </c>
      <c r="G4" s="191"/>
      <c r="H4" s="179"/>
      <c r="I4" s="180"/>
      <c r="J4" s="179"/>
      <c r="K4" s="180"/>
      <c r="L4" s="179"/>
      <c r="M4" s="180"/>
      <c r="N4" s="186"/>
    </row>
    <row r="5" spans="1:14" ht="28.5" customHeight="1">
      <c r="A5" s="183"/>
      <c r="B5" s="86" t="s">
        <v>77</v>
      </c>
      <c r="C5" s="26" t="s">
        <v>78</v>
      </c>
      <c r="D5" s="86" t="s">
        <v>77</v>
      </c>
      <c r="E5" s="26" t="s">
        <v>78</v>
      </c>
      <c r="F5" s="86" t="s">
        <v>77</v>
      </c>
      <c r="G5" s="26" t="s">
        <v>79</v>
      </c>
      <c r="H5" s="86" t="s">
        <v>77</v>
      </c>
      <c r="I5" s="27" t="s">
        <v>81</v>
      </c>
      <c r="J5" s="86" t="s">
        <v>77</v>
      </c>
      <c r="K5" s="27" t="s">
        <v>82</v>
      </c>
      <c r="L5" s="25" t="s">
        <v>77</v>
      </c>
      <c r="M5" s="28" t="s">
        <v>83</v>
      </c>
      <c r="N5" s="187"/>
    </row>
    <row r="6" spans="1:14" s="20" customFormat="1" ht="10.5">
      <c r="A6" s="5"/>
      <c r="B6" s="6" t="s">
        <v>7</v>
      </c>
      <c r="C6" s="7" t="s">
        <v>8</v>
      </c>
      <c r="D6" s="6" t="s">
        <v>7</v>
      </c>
      <c r="E6" s="7" t="s">
        <v>8</v>
      </c>
      <c r="F6" s="6" t="s">
        <v>7</v>
      </c>
      <c r="G6" s="7" t="s">
        <v>8</v>
      </c>
      <c r="H6" s="6" t="s">
        <v>7</v>
      </c>
      <c r="I6" s="8" t="s">
        <v>8</v>
      </c>
      <c r="J6" s="6" t="s">
        <v>7</v>
      </c>
      <c r="K6" s="8" t="s">
        <v>8</v>
      </c>
      <c r="L6" s="6" t="s">
        <v>109</v>
      </c>
      <c r="M6" s="8" t="s">
        <v>8</v>
      </c>
      <c r="N6" s="9"/>
    </row>
    <row r="7" spans="1:14" ht="18.75" customHeight="1">
      <c r="A7" s="11" t="s">
        <v>85</v>
      </c>
      <c r="B7" s="121">
        <f>_xlfn.COMPOUNDVALUE(121)</f>
        <v>3322</v>
      </c>
      <c r="C7" s="122">
        <v>52370728</v>
      </c>
      <c r="D7" s="121">
        <f>_xlfn.COMPOUNDVALUE(122)</f>
        <v>804</v>
      </c>
      <c r="E7" s="122">
        <v>566273</v>
      </c>
      <c r="F7" s="121">
        <f>_xlfn.COMPOUNDVALUE(123)</f>
        <v>4126</v>
      </c>
      <c r="G7" s="122">
        <v>52937001</v>
      </c>
      <c r="H7" s="121">
        <f>_xlfn.COMPOUNDVALUE(124)</f>
        <v>303</v>
      </c>
      <c r="I7" s="123">
        <v>3583629</v>
      </c>
      <c r="J7" s="121">
        <v>360</v>
      </c>
      <c r="K7" s="123">
        <v>-550377</v>
      </c>
      <c r="L7" s="121">
        <v>4471</v>
      </c>
      <c r="M7" s="123">
        <v>48802995</v>
      </c>
      <c r="N7" s="12" t="s">
        <v>85</v>
      </c>
    </row>
    <row r="8" spans="1:14" ht="18.75" customHeight="1">
      <c r="A8" s="11" t="s">
        <v>10</v>
      </c>
      <c r="B8" s="121">
        <f>_xlfn.COMPOUNDVALUE(125)</f>
        <v>6541</v>
      </c>
      <c r="C8" s="122">
        <v>52442642</v>
      </c>
      <c r="D8" s="121">
        <f>_xlfn.COMPOUNDVALUE(126)</f>
        <v>2639</v>
      </c>
      <c r="E8" s="122">
        <v>1505054</v>
      </c>
      <c r="F8" s="121">
        <f>_xlfn.COMPOUNDVALUE(127)</f>
        <v>9180</v>
      </c>
      <c r="G8" s="122">
        <v>53947696</v>
      </c>
      <c r="H8" s="121">
        <f>_xlfn.COMPOUNDVALUE(128)</f>
        <v>436</v>
      </c>
      <c r="I8" s="123">
        <v>1373307</v>
      </c>
      <c r="J8" s="121">
        <v>625</v>
      </c>
      <c r="K8" s="123">
        <v>127265</v>
      </c>
      <c r="L8" s="121">
        <v>9722</v>
      </c>
      <c r="M8" s="123">
        <v>52701654</v>
      </c>
      <c r="N8" s="12" t="s">
        <v>10</v>
      </c>
    </row>
    <row r="9" spans="1:14" ht="18.75" customHeight="1">
      <c r="A9" s="11" t="s">
        <v>11</v>
      </c>
      <c r="B9" s="121">
        <f>_xlfn.COMPOUNDVALUE(129)</f>
        <v>5100</v>
      </c>
      <c r="C9" s="122">
        <v>28307248</v>
      </c>
      <c r="D9" s="121">
        <f>_xlfn.COMPOUNDVALUE(130)</f>
        <v>2080</v>
      </c>
      <c r="E9" s="122">
        <v>1210202</v>
      </c>
      <c r="F9" s="121">
        <f>_xlfn.COMPOUNDVALUE(131)</f>
        <v>7180</v>
      </c>
      <c r="G9" s="122">
        <v>29517451</v>
      </c>
      <c r="H9" s="121">
        <f>_xlfn.COMPOUNDVALUE(132)</f>
        <v>365</v>
      </c>
      <c r="I9" s="123">
        <v>1970114</v>
      </c>
      <c r="J9" s="121">
        <v>411</v>
      </c>
      <c r="K9" s="123">
        <v>31681</v>
      </c>
      <c r="L9" s="121">
        <v>7599</v>
      </c>
      <c r="M9" s="123">
        <v>27579017</v>
      </c>
      <c r="N9" s="12" t="s">
        <v>11</v>
      </c>
    </row>
    <row r="10" spans="1:14" ht="18.75" customHeight="1">
      <c r="A10" s="11" t="s">
        <v>12</v>
      </c>
      <c r="B10" s="121">
        <f>_xlfn.COMPOUNDVALUE(133)</f>
        <v>5601</v>
      </c>
      <c r="C10" s="122">
        <v>43748241</v>
      </c>
      <c r="D10" s="121">
        <f>_xlfn.COMPOUNDVALUE(134)</f>
        <v>2117</v>
      </c>
      <c r="E10" s="122">
        <v>1355132</v>
      </c>
      <c r="F10" s="121">
        <f>_xlfn.COMPOUNDVALUE(135)</f>
        <v>7718</v>
      </c>
      <c r="G10" s="122">
        <v>45103373</v>
      </c>
      <c r="H10" s="121">
        <f>_xlfn.COMPOUNDVALUE(136)</f>
        <v>438</v>
      </c>
      <c r="I10" s="123">
        <v>2714027</v>
      </c>
      <c r="J10" s="121">
        <v>534</v>
      </c>
      <c r="K10" s="123">
        <v>39590</v>
      </c>
      <c r="L10" s="121">
        <v>8253</v>
      </c>
      <c r="M10" s="123">
        <v>42428937</v>
      </c>
      <c r="N10" s="12" t="s">
        <v>12</v>
      </c>
    </row>
    <row r="11" spans="1:14" ht="18.75" customHeight="1">
      <c r="A11" s="11" t="s">
        <v>13</v>
      </c>
      <c r="B11" s="121">
        <f>_xlfn.COMPOUNDVALUE(137)</f>
        <v>4235</v>
      </c>
      <c r="C11" s="122">
        <v>33466186</v>
      </c>
      <c r="D11" s="121">
        <f>_xlfn.COMPOUNDVALUE(138)</f>
        <v>1583</v>
      </c>
      <c r="E11" s="122">
        <v>981813</v>
      </c>
      <c r="F11" s="121">
        <f>_xlfn.COMPOUNDVALUE(139)</f>
        <v>5818</v>
      </c>
      <c r="G11" s="122">
        <v>34447999</v>
      </c>
      <c r="H11" s="121">
        <f>_xlfn.COMPOUNDVALUE(140)</f>
        <v>236</v>
      </c>
      <c r="I11" s="123">
        <v>1869773</v>
      </c>
      <c r="J11" s="121">
        <v>383</v>
      </c>
      <c r="K11" s="123">
        <v>48706</v>
      </c>
      <c r="L11" s="121">
        <v>6112</v>
      </c>
      <c r="M11" s="123">
        <v>32626932</v>
      </c>
      <c r="N11" s="12" t="s">
        <v>13</v>
      </c>
    </row>
    <row r="12" spans="1:14" ht="18.75" customHeight="1">
      <c r="A12" s="11" t="s">
        <v>84</v>
      </c>
      <c r="B12" s="121">
        <f>_xlfn.COMPOUNDVALUE(141)</f>
        <v>3520</v>
      </c>
      <c r="C12" s="122">
        <v>18544380</v>
      </c>
      <c r="D12" s="121">
        <f>_xlfn.COMPOUNDVALUE(142)</f>
        <v>1475</v>
      </c>
      <c r="E12" s="122">
        <v>880593</v>
      </c>
      <c r="F12" s="121">
        <f>_xlfn.COMPOUNDVALUE(143)</f>
        <v>4995</v>
      </c>
      <c r="G12" s="122">
        <v>19424973</v>
      </c>
      <c r="H12" s="121">
        <f>_xlfn.COMPOUNDVALUE(144)</f>
        <v>164</v>
      </c>
      <c r="I12" s="123">
        <v>1114316</v>
      </c>
      <c r="J12" s="121">
        <v>396</v>
      </c>
      <c r="K12" s="123">
        <v>67052</v>
      </c>
      <c r="L12" s="121">
        <v>5199</v>
      </c>
      <c r="M12" s="123">
        <v>18377709</v>
      </c>
      <c r="N12" s="12" t="s">
        <v>84</v>
      </c>
    </row>
    <row r="13" spans="1:14" ht="18.75" customHeight="1">
      <c r="A13" s="11" t="s">
        <v>14</v>
      </c>
      <c r="B13" s="121">
        <f>_xlfn.COMPOUNDVALUE(145)</f>
        <v>1278</v>
      </c>
      <c r="C13" s="122">
        <v>8185209</v>
      </c>
      <c r="D13" s="121">
        <f>_xlfn.COMPOUNDVALUE(146)</f>
        <v>517</v>
      </c>
      <c r="E13" s="122">
        <v>263639</v>
      </c>
      <c r="F13" s="121">
        <f>_xlfn.COMPOUNDVALUE(147)</f>
        <v>1795</v>
      </c>
      <c r="G13" s="122">
        <v>8448848</v>
      </c>
      <c r="H13" s="121">
        <f>_xlfn.COMPOUNDVALUE(148)</f>
        <v>147</v>
      </c>
      <c r="I13" s="123">
        <v>420777</v>
      </c>
      <c r="J13" s="121">
        <v>83</v>
      </c>
      <c r="K13" s="123">
        <v>1314</v>
      </c>
      <c r="L13" s="121">
        <v>1952</v>
      </c>
      <c r="M13" s="123">
        <v>8029384</v>
      </c>
      <c r="N13" s="12" t="s">
        <v>14</v>
      </c>
    </row>
    <row r="14" spans="1:14" ht="18.75" customHeight="1">
      <c r="A14" s="11" t="s">
        <v>15</v>
      </c>
      <c r="B14" s="121">
        <f>_xlfn.COMPOUNDVALUE(149)</f>
        <v>1366</v>
      </c>
      <c r="C14" s="122">
        <v>7576154</v>
      </c>
      <c r="D14" s="121">
        <f>_xlfn.COMPOUNDVALUE(150)</f>
        <v>651</v>
      </c>
      <c r="E14" s="122">
        <v>379164</v>
      </c>
      <c r="F14" s="121">
        <f>_xlfn.COMPOUNDVALUE(151)</f>
        <v>2017</v>
      </c>
      <c r="G14" s="122">
        <v>7955318</v>
      </c>
      <c r="H14" s="121">
        <f>_xlfn.COMPOUNDVALUE(152)</f>
        <v>81</v>
      </c>
      <c r="I14" s="123">
        <v>315408</v>
      </c>
      <c r="J14" s="121">
        <v>149</v>
      </c>
      <c r="K14" s="123">
        <v>11639</v>
      </c>
      <c r="L14" s="121">
        <v>2114</v>
      </c>
      <c r="M14" s="123">
        <v>7651549</v>
      </c>
      <c r="N14" s="12" t="s">
        <v>15</v>
      </c>
    </row>
    <row r="15" spans="1:14" s="15" customFormat="1" ht="18.75" customHeight="1">
      <c r="A15" s="11" t="s">
        <v>16</v>
      </c>
      <c r="B15" s="121">
        <f>_xlfn.COMPOUNDVALUE(153)</f>
        <v>2506</v>
      </c>
      <c r="C15" s="122">
        <v>11858695</v>
      </c>
      <c r="D15" s="121">
        <f>_xlfn.COMPOUNDVALUE(154)</f>
        <v>1056</v>
      </c>
      <c r="E15" s="122">
        <v>608372</v>
      </c>
      <c r="F15" s="121">
        <f>_xlfn.COMPOUNDVALUE(155)</f>
        <v>3562</v>
      </c>
      <c r="G15" s="122">
        <v>12467067</v>
      </c>
      <c r="H15" s="121">
        <f>_xlfn.COMPOUNDVALUE(156)</f>
        <v>112</v>
      </c>
      <c r="I15" s="123">
        <v>364784</v>
      </c>
      <c r="J15" s="121">
        <v>240</v>
      </c>
      <c r="K15" s="123">
        <v>7829</v>
      </c>
      <c r="L15" s="121">
        <v>3702</v>
      </c>
      <c r="M15" s="123">
        <v>12110112</v>
      </c>
      <c r="N15" s="12" t="s">
        <v>16</v>
      </c>
    </row>
    <row r="16" spans="1:14" s="21" customFormat="1" ht="18.75" customHeight="1">
      <c r="A16" s="11" t="s">
        <v>17</v>
      </c>
      <c r="B16" s="121">
        <f>_xlfn.COMPOUNDVALUE(157)</f>
        <v>1636</v>
      </c>
      <c r="C16" s="122">
        <v>10228509</v>
      </c>
      <c r="D16" s="121">
        <f>_xlfn.COMPOUNDVALUE(158)</f>
        <v>774</v>
      </c>
      <c r="E16" s="122">
        <v>444315</v>
      </c>
      <c r="F16" s="121">
        <f>_xlfn.COMPOUNDVALUE(159)</f>
        <v>2410</v>
      </c>
      <c r="G16" s="122">
        <v>10672824</v>
      </c>
      <c r="H16" s="121">
        <f>_xlfn.COMPOUNDVALUE(160)</f>
        <v>82</v>
      </c>
      <c r="I16" s="123">
        <v>936594</v>
      </c>
      <c r="J16" s="121">
        <v>171</v>
      </c>
      <c r="K16" s="123">
        <v>-1183</v>
      </c>
      <c r="L16" s="121">
        <v>2517</v>
      </c>
      <c r="M16" s="123">
        <v>9735046</v>
      </c>
      <c r="N16" s="12" t="s">
        <v>17</v>
      </c>
    </row>
    <row r="17" spans="1:14" ht="18.75" customHeight="1">
      <c r="A17" s="11" t="s">
        <v>18</v>
      </c>
      <c r="B17" s="121">
        <f>_xlfn.COMPOUNDVALUE(161)</f>
        <v>2486</v>
      </c>
      <c r="C17" s="122">
        <v>12555779</v>
      </c>
      <c r="D17" s="121">
        <f>_xlfn.COMPOUNDVALUE(162)</f>
        <v>991</v>
      </c>
      <c r="E17" s="122">
        <v>614666</v>
      </c>
      <c r="F17" s="121">
        <f>_xlfn.COMPOUNDVALUE(163)</f>
        <v>3477</v>
      </c>
      <c r="G17" s="122">
        <v>13170445</v>
      </c>
      <c r="H17" s="121">
        <f>_xlfn.COMPOUNDVALUE(164)</f>
        <v>137</v>
      </c>
      <c r="I17" s="123">
        <v>504060</v>
      </c>
      <c r="J17" s="121">
        <v>254</v>
      </c>
      <c r="K17" s="123">
        <v>70533</v>
      </c>
      <c r="L17" s="121">
        <v>3658</v>
      </c>
      <c r="M17" s="123">
        <v>12736918</v>
      </c>
      <c r="N17" s="12" t="s">
        <v>18</v>
      </c>
    </row>
    <row r="18" spans="1:14" ht="18.75" customHeight="1">
      <c r="A18" s="11" t="s">
        <v>19</v>
      </c>
      <c r="B18" s="121">
        <f>_xlfn.COMPOUNDVALUE(165)</f>
        <v>3568</v>
      </c>
      <c r="C18" s="122">
        <v>21468176</v>
      </c>
      <c r="D18" s="121">
        <f>_xlfn.COMPOUNDVALUE(166)</f>
        <v>1145</v>
      </c>
      <c r="E18" s="122">
        <v>718342</v>
      </c>
      <c r="F18" s="121">
        <f>_xlfn.COMPOUNDVALUE(167)</f>
        <v>4713</v>
      </c>
      <c r="G18" s="122">
        <v>22186518</v>
      </c>
      <c r="H18" s="121">
        <f>_xlfn.COMPOUNDVALUE(168)</f>
        <v>283</v>
      </c>
      <c r="I18" s="123">
        <v>2142411</v>
      </c>
      <c r="J18" s="121">
        <v>287</v>
      </c>
      <c r="K18" s="123">
        <v>77121</v>
      </c>
      <c r="L18" s="121">
        <v>5025</v>
      </c>
      <c r="M18" s="123">
        <v>20121229</v>
      </c>
      <c r="N18" s="12" t="s">
        <v>19</v>
      </c>
    </row>
    <row r="19" spans="1:14" ht="18.75" customHeight="1">
      <c r="A19" s="11" t="s">
        <v>20</v>
      </c>
      <c r="B19" s="121">
        <f>_xlfn.COMPOUNDVALUE(169)</f>
        <v>1359</v>
      </c>
      <c r="C19" s="122">
        <v>7179733</v>
      </c>
      <c r="D19" s="121">
        <f>_xlfn.COMPOUNDVALUE(170)</f>
        <v>558</v>
      </c>
      <c r="E19" s="122">
        <v>348705</v>
      </c>
      <c r="F19" s="121">
        <f>_xlfn.COMPOUNDVALUE(171)</f>
        <v>1917</v>
      </c>
      <c r="G19" s="122">
        <v>7528438</v>
      </c>
      <c r="H19" s="121">
        <f>_xlfn.COMPOUNDVALUE(172)</f>
        <v>75</v>
      </c>
      <c r="I19" s="123">
        <v>270422</v>
      </c>
      <c r="J19" s="121">
        <v>93</v>
      </c>
      <c r="K19" s="123">
        <v>24466</v>
      </c>
      <c r="L19" s="121">
        <v>2002</v>
      </c>
      <c r="M19" s="123">
        <v>7282482</v>
      </c>
      <c r="N19" s="12" t="s">
        <v>20</v>
      </c>
    </row>
    <row r="20" spans="1:14" ht="18.75" customHeight="1">
      <c r="A20" s="11" t="s">
        <v>21</v>
      </c>
      <c r="B20" s="121">
        <f>_xlfn.COMPOUNDVALUE(173)</f>
        <v>1462</v>
      </c>
      <c r="C20" s="122">
        <v>6047378</v>
      </c>
      <c r="D20" s="121">
        <f>_xlfn.COMPOUNDVALUE(174)</f>
        <v>674</v>
      </c>
      <c r="E20" s="122">
        <v>401005</v>
      </c>
      <c r="F20" s="121">
        <f>_xlfn.COMPOUNDVALUE(175)</f>
        <v>2136</v>
      </c>
      <c r="G20" s="122">
        <v>6448383</v>
      </c>
      <c r="H20" s="121">
        <f>_xlfn.COMPOUNDVALUE(176)</f>
        <v>133</v>
      </c>
      <c r="I20" s="123">
        <v>378822</v>
      </c>
      <c r="J20" s="121">
        <v>118</v>
      </c>
      <c r="K20" s="123">
        <v>1554</v>
      </c>
      <c r="L20" s="121">
        <v>2275</v>
      </c>
      <c r="M20" s="123">
        <v>6071115</v>
      </c>
      <c r="N20" s="12" t="s">
        <v>21</v>
      </c>
    </row>
    <row r="21" spans="1:14" ht="18.75" customHeight="1">
      <c r="A21" s="11" t="s">
        <v>22</v>
      </c>
      <c r="B21" s="121">
        <f>_xlfn.COMPOUNDVALUE(177)</f>
        <v>1043</v>
      </c>
      <c r="C21" s="122">
        <v>5514535</v>
      </c>
      <c r="D21" s="121">
        <f>_xlfn.COMPOUNDVALUE(178)</f>
        <v>350</v>
      </c>
      <c r="E21" s="122">
        <v>194032</v>
      </c>
      <c r="F21" s="121">
        <f>_xlfn.COMPOUNDVALUE(179)</f>
        <v>1393</v>
      </c>
      <c r="G21" s="122">
        <v>5708567</v>
      </c>
      <c r="H21" s="121">
        <f>_xlfn.COMPOUNDVALUE(180)</f>
        <v>117</v>
      </c>
      <c r="I21" s="123">
        <v>174474</v>
      </c>
      <c r="J21" s="121">
        <v>41</v>
      </c>
      <c r="K21" s="123">
        <v>25144</v>
      </c>
      <c r="L21" s="121">
        <v>1519</v>
      </c>
      <c r="M21" s="123">
        <v>5559237</v>
      </c>
      <c r="N21" s="12" t="s">
        <v>22</v>
      </c>
    </row>
    <row r="22" spans="1:14" ht="18.75" customHeight="1">
      <c r="A22" s="11" t="s">
        <v>23</v>
      </c>
      <c r="B22" s="121">
        <f>_xlfn.COMPOUNDVALUE(181)</f>
        <v>490</v>
      </c>
      <c r="C22" s="122">
        <v>2029175</v>
      </c>
      <c r="D22" s="121">
        <f>_xlfn.COMPOUNDVALUE(182)</f>
        <v>180</v>
      </c>
      <c r="E22" s="122">
        <v>105359</v>
      </c>
      <c r="F22" s="121">
        <f>_xlfn.COMPOUNDVALUE(183)</f>
        <v>670</v>
      </c>
      <c r="G22" s="122">
        <v>2134535</v>
      </c>
      <c r="H22" s="121">
        <f>_xlfn.COMPOUNDVALUE(184)</f>
        <v>27</v>
      </c>
      <c r="I22" s="123">
        <v>121824</v>
      </c>
      <c r="J22" s="121">
        <v>37</v>
      </c>
      <c r="K22" s="123">
        <v>12710</v>
      </c>
      <c r="L22" s="121">
        <v>708</v>
      </c>
      <c r="M22" s="123">
        <v>2025420</v>
      </c>
      <c r="N22" s="12" t="s">
        <v>23</v>
      </c>
    </row>
    <row r="23" spans="1:14" ht="18.75" customHeight="1">
      <c r="A23" s="11" t="s">
        <v>24</v>
      </c>
      <c r="B23" s="121">
        <f>_xlfn.COMPOUNDVALUE(185)</f>
        <v>2368</v>
      </c>
      <c r="C23" s="122">
        <v>17697943</v>
      </c>
      <c r="D23" s="121">
        <f>_xlfn.COMPOUNDVALUE(186)</f>
        <v>871</v>
      </c>
      <c r="E23" s="122">
        <v>529240</v>
      </c>
      <c r="F23" s="121">
        <f>_xlfn.COMPOUNDVALUE(187)</f>
        <v>3239</v>
      </c>
      <c r="G23" s="122">
        <v>18227183</v>
      </c>
      <c r="H23" s="121">
        <f>_xlfn.COMPOUNDVALUE(188)</f>
        <v>154</v>
      </c>
      <c r="I23" s="123">
        <v>1126433</v>
      </c>
      <c r="J23" s="121">
        <v>257</v>
      </c>
      <c r="K23" s="123">
        <v>470245</v>
      </c>
      <c r="L23" s="121">
        <v>3423</v>
      </c>
      <c r="M23" s="123">
        <v>17570995</v>
      </c>
      <c r="N23" s="12" t="s">
        <v>24</v>
      </c>
    </row>
    <row r="24" spans="1:14" ht="18.75" customHeight="1">
      <c r="A24" s="13" t="s">
        <v>25</v>
      </c>
      <c r="B24" s="124">
        <f>_xlfn.COMPOUNDVALUE(189)</f>
        <v>975</v>
      </c>
      <c r="C24" s="125">
        <v>4516938</v>
      </c>
      <c r="D24" s="124">
        <f>_xlfn.COMPOUNDVALUE(190)</f>
        <v>272</v>
      </c>
      <c r="E24" s="125">
        <v>155425</v>
      </c>
      <c r="F24" s="124">
        <f>_xlfn.COMPOUNDVALUE(191)</f>
        <v>1247</v>
      </c>
      <c r="G24" s="125">
        <v>4672363</v>
      </c>
      <c r="H24" s="124">
        <f>_xlfn.COMPOUNDVALUE(192)</f>
        <v>84</v>
      </c>
      <c r="I24" s="126">
        <v>581554</v>
      </c>
      <c r="J24" s="124">
        <v>62</v>
      </c>
      <c r="K24" s="126">
        <v>10215</v>
      </c>
      <c r="L24" s="124">
        <v>1337</v>
      </c>
      <c r="M24" s="126">
        <v>4101025</v>
      </c>
      <c r="N24" s="14" t="s">
        <v>25</v>
      </c>
    </row>
    <row r="25" spans="1:14" s="15" customFormat="1" ht="18.75" customHeight="1">
      <c r="A25" s="13" t="s">
        <v>26</v>
      </c>
      <c r="B25" s="124">
        <f>_xlfn.COMPOUNDVALUE(193)</f>
        <v>737</v>
      </c>
      <c r="C25" s="125">
        <v>3498582</v>
      </c>
      <c r="D25" s="124">
        <f>_xlfn.COMPOUNDVALUE(194)</f>
        <v>204</v>
      </c>
      <c r="E25" s="125">
        <v>119045</v>
      </c>
      <c r="F25" s="124">
        <f>_xlfn.COMPOUNDVALUE(195)</f>
        <v>941</v>
      </c>
      <c r="G25" s="125">
        <v>3617626</v>
      </c>
      <c r="H25" s="124">
        <f>_xlfn.COMPOUNDVALUE(196)</f>
        <v>48</v>
      </c>
      <c r="I25" s="126">
        <v>622188</v>
      </c>
      <c r="J25" s="124">
        <v>48</v>
      </c>
      <c r="K25" s="126">
        <v>5965</v>
      </c>
      <c r="L25" s="124">
        <v>998</v>
      </c>
      <c r="M25" s="126">
        <v>3001403</v>
      </c>
      <c r="N25" s="14" t="s">
        <v>26</v>
      </c>
    </row>
    <row r="26" spans="1:14" s="21" customFormat="1" ht="18.75" customHeight="1">
      <c r="A26" s="13" t="s">
        <v>27</v>
      </c>
      <c r="B26" s="124">
        <f>_xlfn.COMPOUNDVALUE(197)</f>
        <v>615</v>
      </c>
      <c r="C26" s="125">
        <v>2634776</v>
      </c>
      <c r="D26" s="124">
        <f>_xlfn.COMPOUNDVALUE(198)</f>
        <v>242</v>
      </c>
      <c r="E26" s="125">
        <v>131705</v>
      </c>
      <c r="F26" s="124">
        <f>_xlfn.COMPOUNDVALUE(199)</f>
        <v>857</v>
      </c>
      <c r="G26" s="125">
        <v>2766481</v>
      </c>
      <c r="H26" s="124">
        <f>_xlfn.COMPOUNDVALUE(200)</f>
        <v>52</v>
      </c>
      <c r="I26" s="126">
        <v>116542</v>
      </c>
      <c r="J26" s="124">
        <v>53</v>
      </c>
      <c r="K26" s="126">
        <v>-2810</v>
      </c>
      <c r="L26" s="124">
        <v>917</v>
      </c>
      <c r="M26" s="126">
        <v>2647129</v>
      </c>
      <c r="N26" s="14" t="s">
        <v>27</v>
      </c>
    </row>
    <row r="27" spans="1:14" ht="18.75" customHeight="1">
      <c r="A27" s="13" t="s">
        <v>28</v>
      </c>
      <c r="B27" s="124">
        <f>_xlfn.COMPOUNDVALUE(201)</f>
        <v>1203</v>
      </c>
      <c r="C27" s="125">
        <v>5402143</v>
      </c>
      <c r="D27" s="124">
        <f>_xlfn.COMPOUNDVALUE(202)</f>
        <v>359</v>
      </c>
      <c r="E27" s="125">
        <v>217360</v>
      </c>
      <c r="F27" s="124">
        <f>_xlfn.COMPOUNDVALUE(203)</f>
        <v>1562</v>
      </c>
      <c r="G27" s="125">
        <v>5619503</v>
      </c>
      <c r="H27" s="124">
        <f>_xlfn.COMPOUNDVALUE(204)</f>
        <v>100</v>
      </c>
      <c r="I27" s="126">
        <v>608230</v>
      </c>
      <c r="J27" s="124">
        <v>62</v>
      </c>
      <c r="K27" s="126">
        <v>20977</v>
      </c>
      <c r="L27" s="124">
        <v>1671</v>
      </c>
      <c r="M27" s="126">
        <v>5032250</v>
      </c>
      <c r="N27" s="14" t="s">
        <v>28</v>
      </c>
    </row>
    <row r="28" spans="1:14" ht="18.75" customHeight="1">
      <c r="A28" s="13" t="s">
        <v>29</v>
      </c>
      <c r="B28" s="124">
        <f>_xlfn.COMPOUNDVALUE(205)</f>
        <v>905</v>
      </c>
      <c r="C28" s="125">
        <v>5593188</v>
      </c>
      <c r="D28" s="124">
        <f>_xlfn.COMPOUNDVALUE(206)</f>
        <v>455</v>
      </c>
      <c r="E28" s="125">
        <v>247822</v>
      </c>
      <c r="F28" s="124">
        <f>_xlfn.COMPOUNDVALUE(207)</f>
        <v>1360</v>
      </c>
      <c r="G28" s="125">
        <v>5841010</v>
      </c>
      <c r="H28" s="124">
        <f>_xlfn.COMPOUNDVALUE(208)</f>
        <v>46</v>
      </c>
      <c r="I28" s="126">
        <v>161626</v>
      </c>
      <c r="J28" s="124">
        <v>83</v>
      </c>
      <c r="K28" s="126">
        <v>8921</v>
      </c>
      <c r="L28" s="124">
        <v>1419</v>
      </c>
      <c r="M28" s="126">
        <v>5688304</v>
      </c>
      <c r="N28" s="14" t="s">
        <v>29</v>
      </c>
    </row>
    <row r="29" spans="1:14" ht="18.75" customHeight="1">
      <c r="A29" s="13" t="s">
        <v>30</v>
      </c>
      <c r="B29" s="124">
        <f>_xlfn.COMPOUNDVALUE(209)</f>
        <v>395</v>
      </c>
      <c r="C29" s="125">
        <v>1468001</v>
      </c>
      <c r="D29" s="124">
        <f>_xlfn.COMPOUNDVALUE(210)</f>
        <v>134</v>
      </c>
      <c r="E29" s="125">
        <v>65601</v>
      </c>
      <c r="F29" s="124">
        <f>_xlfn.COMPOUNDVALUE(211)</f>
        <v>529</v>
      </c>
      <c r="G29" s="125">
        <v>1533602</v>
      </c>
      <c r="H29" s="124">
        <f>_xlfn.COMPOUNDVALUE(212)</f>
        <v>26</v>
      </c>
      <c r="I29" s="126">
        <v>154598</v>
      </c>
      <c r="J29" s="124">
        <v>59</v>
      </c>
      <c r="K29" s="126">
        <v>5821</v>
      </c>
      <c r="L29" s="124">
        <v>558</v>
      </c>
      <c r="M29" s="126">
        <v>1384825</v>
      </c>
      <c r="N29" s="14" t="s">
        <v>30</v>
      </c>
    </row>
    <row r="30" spans="1:14" ht="18.75" customHeight="1">
      <c r="A30" s="13" t="s">
        <v>31</v>
      </c>
      <c r="B30" s="124">
        <f>_xlfn.COMPOUNDVALUE(213)</f>
        <v>384</v>
      </c>
      <c r="C30" s="125">
        <v>1994600</v>
      </c>
      <c r="D30" s="124">
        <f>_xlfn.COMPOUNDVALUE(214)</f>
        <v>143</v>
      </c>
      <c r="E30" s="125">
        <v>88891</v>
      </c>
      <c r="F30" s="124">
        <f>_xlfn.COMPOUNDVALUE(215)</f>
        <v>527</v>
      </c>
      <c r="G30" s="125">
        <v>2083491</v>
      </c>
      <c r="H30" s="124">
        <f>_xlfn.COMPOUNDVALUE(216)</f>
        <v>39</v>
      </c>
      <c r="I30" s="126">
        <v>82134</v>
      </c>
      <c r="J30" s="124">
        <v>45</v>
      </c>
      <c r="K30" s="126">
        <v>11556</v>
      </c>
      <c r="L30" s="124">
        <v>571</v>
      </c>
      <c r="M30" s="126">
        <v>2012912</v>
      </c>
      <c r="N30" s="14" t="s">
        <v>31</v>
      </c>
    </row>
    <row r="31" spans="1:14" ht="18.75" customHeight="1">
      <c r="A31" s="13" t="s">
        <v>32</v>
      </c>
      <c r="B31" s="124">
        <f>_xlfn.COMPOUNDVALUE(217)</f>
        <v>585</v>
      </c>
      <c r="C31" s="125">
        <v>1859431</v>
      </c>
      <c r="D31" s="124">
        <f>_xlfn.COMPOUNDVALUE(218)</f>
        <v>250</v>
      </c>
      <c r="E31" s="125">
        <v>141851</v>
      </c>
      <c r="F31" s="124">
        <f>_xlfn.COMPOUNDVALUE(219)</f>
        <v>835</v>
      </c>
      <c r="G31" s="125">
        <v>2001281</v>
      </c>
      <c r="H31" s="124">
        <f>_xlfn.COMPOUNDVALUE(220)</f>
        <v>36</v>
      </c>
      <c r="I31" s="126">
        <v>175641</v>
      </c>
      <c r="J31" s="124">
        <v>51</v>
      </c>
      <c r="K31" s="126">
        <v>15291</v>
      </c>
      <c r="L31" s="124">
        <v>874</v>
      </c>
      <c r="M31" s="126">
        <v>1840931</v>
      </c>
      <c r="N31" s="14" t="s">
        <v>32</v>
      </c>
    </row>
    <row r="32" spans="1:14" ht="18.75" customHeight="1">
      <c r="A32" s="13" t="s">
        <v>33</v>
      </c>
      <c r="B32" s="124">
        <f>_xlfn.COMPOUNDVALUE(221)</f>
        <v>261</v>
      </c>
      <c r="C32" s="125">
        <v>880806</v>
      </c>
      <c r="D32" s="124">
        <f>_xlfn.COMPOUNDVALUE(222)</f>
        <v>118</v>
      </c>
      <c r="E32" s="125">
        <v>69534</v>
      </c>
      <c r="F32" s="124">
        <f>_xlfn.COMPOUNDVALUE(223)</f>
        <v>379</v>
      </c>
      <c r="G32" s="125">
        <v>950340</v>
      </c>
      <c r="H32" s="124">
        <f>_xlfn.COMPOUNDVALUE(224)</f>
        <v>13</v>
      </c>
      <c r="I32" s="126">
        <v>30490</v>
      </c>
      <c r="J32" s="124">
        <v>32</v>
      </c>
      <c r="K32" s="126">
        <v>16638</v>
      </c>
      <c r="L32" s="124">
        <v>392</v>
      </c>
      <c r="M32" s="126">
        <v>936488</v>
      </c>
      <c r="N32" s="14" t="s">
        <v>33</v>
      </c>
    </row>
    <row r="33" spans="1:14" ht="18.75" customHeight="1">
      <c r="A33" s="13" t="s">
        <v>34</v>
      </c>
      <c r="B33" s="124">
        <f>_xlfn.COMPOUNDVALUE(225)</f>
        <v>761</v>
      </c>
      <c r="C33" s="125">
        <v>3416537</v>
      </c>
      <c r="D33" s="124">
        <f>_xlfn.COMPOUNDVALUE(226)</f>
        <v>308</v>
      </c>
      <c r="E33" s="125">
        <v>193664</v>
      </c>
      <c r="F33" s="124">
        <f>_xlfn.COMPOUNDVALUE(227)</f>
        <v>1069</v>
      </c>
      <c r="G33" s="125">
        <v>3610201</v>
      </c>
      <c r="H33" s="124">
        <f>_xlfn.COMPOUNDVALUE(228)</f>
        <v>92</v>
      </c>
      <c r="I33" s="126">
        <v>1027890</v>
      </c>
      <c r="J33" s="124">
        <v>84</v>
      </c>
      <c r="K33" s="126">
        <v>15826</v>
      </c>
      <c r="L33" s="124">
        <v>1171</v>
      </c>
      <c r="M33" s="126">
        <v>2598138</v>
      </c>
      <c r="N33" s="14" t="s">
        <v>34</v>
      </c>
    </row>
    <row r="34" spans="1:14" ht="18.75" customHeight="1">
      <c r="A34" s="13" t="s">
        <v>35</v>
      </c>
      <c r="B34" s="124">
        <f>_xlfn.COMPOUNDVALUE(229)</f>
        <v>299</v>
      </c>
      <c r="C34" s="125">
        <v>3005700</v>
      </c>
      <c r="D34" s="124">
        <f>_xlfn.COMPOUNDVALUE(230)</f>
        <v>113</v>
      </c>
      <c r="E34" s="125">
        <v>63876</v>
      </c>
      <c r="F34" s="124">
        <f>_xlfn.COMPOUNDVALUE(231)</f>
        <v>412</v>
      </c>
      <c r="G34" s="125">
        <v>3069576</v>
      </c>
      <c r="H34" s="124">
        <f>_xlfn.COMPOUNDVALUE(232)</f>
        <v>34</v>
      </c>
      <c r="I34" s="126">
        <v>68497</v>
      </c>
      <c r="J34" s="124">
        <v>25</v>
      </c>
      <c r="K34" s="126">
        <v>12430</v>
      </c>
      <c r="L34" s="124">
        <v>449</v>
      </c>
      <c r="M34" s="126">
        <v>3013508</v>
      </c>
      <c r="N34" s="14" t="s">
        <v>35</v>
      </c>
    </row>
    <row r="35" spans="1:14" s="15" customFormat="1" ht="18.75" customHeight="1">
      <c r="A35" s="13" t="s">
        <v>36</v>
      </c>
      <c r="B35" s="124">
        <f>_xlfn.COMPOUNDVALUE(233)</f>
        <v>700</v>
      </c>
      <c r="C35" s="125">
        <v>2935756</v>
      </c>
      <c r="D35" s="124">
        <f>_xlfn.COMPOUNDVALUE(234)</f>
        <v>321</v>
      </c>
      <c r="E35" s="125">
        <v>174704</v>
      </c>
      <c r="F35" s="124">
        <f>_xlfn.COMPOUNDVALUE(235)</f>
        <v>1021</v>
      </c>
      <c r="G35" s="125">
        <v>3110460</v>
      </c>
      <c r="H35" s="124">
        <f>_xlfn.COMPOUNDVALUE(236)</f>
        <v>40</v>
      </c>
      <c r="I35" s="126">
        <v>67570</v>
      </c>
      <c r="J35" s="124">
        <v>73</v>
      </c>
      <c r="K35" s="126">
        <v>9143</v>
      </c>
      <c r="L35" s="124">
        <v>1068</v>
      </c>
      <c r="M35" s="126">
        <v>3052033</v>
      </c>
      <c r="N35" s="14" t="s">
        <v>36</v>
      </c>
    </row>
    <row r="36" spans="1:14" s="21" customFormat="1" ht="18.75" customHeight="1" thickBot="1">
      <c r="A36" s="87" t="s">
        <v>37</v>
      </c>
      <c r="B36" s="127">
        <f>_xlfn.COMPOUNDVALUE(237)</f>
        <v>408</v>
      </c>
      <c r="C36" s="128">
        <v>1700624</v>
      </c>
      <c r="D36" s="127">
        <f>_xlfn.COMPOUNDVALUE(238)</f>
        <v>140</v>
      </c>
      <c r="E36" s="128">
        <v>78974</v>
      </c>
      <c r="F36" s="127">
        <f>_xlfn.COMPOUNDVALUE(239)</f>
        <v>548</v>
      </c>
      <c r="G36" s="128">
        <v>1779598</v>
      </c>
      <c r="H36" s="127">
        <f>_xlfn.COMPOUNDVALUE(240)</f>
        <v>44</v>
      </c>
      <c r="I36" s="129">
        <v>282939</v>
      </c>
      <c r="J36" s="127">
        <v>26</v>
      </c>
      <c r="K36" s="129">
        <v>2520</v>
      </c>
      <c r="L36" s="127">
        <v>594</v>
      </c>
      <c r="M36" s="129">
        <v>1499179</v>
      </c>
      <c r="N36" s="85" t="s">
        <v>37</v>
      </c>
    </row>
    <row r="37" spans="1:14" ht="18.75" customHeight="1" thickBot="1" thickTop="1">
      <c r="A37" s="16" t="s">
        <v>43</v>
      </c>
      <c r="B37" s="130">
        <v>56109</v>
      </c>
      <c r="C37" s="131">
        <v>378127790</v>
      </c>
      <c r="D37" s="130">
        <v>21524</v>
      </c>
      <c r="E37" s="131">
        <v>12854357</v>
      </c>
      <c r="F37" s="130">
        <v>77633</v>
      </c>
      <c r="G37" s="131">
        <v>390982148</v>
      </c>
      <c r="H37" s="130">
        <v>3944</v>
      </c>
      <c r="I37" s="132">
        <v>23361075</v>
      </c>
      <c r="J37" s="130">
        <v>5142</v>
      </c>
      <c r="K37" s="132">
        <v>597782</v>
      </c>
      <c r="L37" s="130">
        <v>82270</v>
      </c>
      <c r="M37" s="132">
        <v>368218855</v>
      </c>
      <c r="N37" s="17" t="str">
        <f>IF(A37="","",A37)</f>
        <v>合　　計</v>
      </c>
    </row>
    <row r="38" spans="1:14" s="21" customFormat="1" ht="3" customHeight="1">
      <c r="A38" s="31"/>
      <c r="B38" s="32"/>
      <c r="C38" s="32"/>
      <c r="D38" s="32"/>
      <c r="E38" s="32"/>
      <c r="F38" s="32"/>
      <c r="G38" s="32"/>
      <c r="H38" s="32"/>
      <c r="I38" s="32"/>
      <c r="J38" s="32"/>
      <c r="K38" s="32"/>
      <c r="L38" s="32"/>
      <c r="M38" s="32"/>
      <c r="N38" s="31"/>
    </row>
    <row r="39" spans="1:14" ht="13.5">
      <c r="A39" s="175" t="s">
        <v>102</v>
      </c>
      <c r="B39" s="175"/>
      <c r="C39" s="175"/>
      <c r="D39" s="175"/>
      <c r="E39" s="175"/>
      <c r="F39" s="175"/>
      <c r="G39" s="175"/>
      <c r="H39" s="175"/>
      <c r="I39" s="175"/>
      <c r="J39" s="18"/>
      <c r="K39" s="18"/>
      <c r="L39" s="2"/>
      <c r="M39" s="2"/>
      <c r="N39" s="2"/>
    </row>
  </sheetData>
  <sheetProtection/>
  <mergeCells count="11">
    <mergeCell ref="N3:N5"/>
    <mergeCell ref="B4:C4"/>
    <mergeCell ref="D4:E4"/>
    <mergeCell ref="F4:G4"/>
    <mergeCell ref="J3:K4"/>
    <mergeCell ref="L3:M4"/>
    <mergeCell ref="A39:I39"/>
    <mergeCell ref="A2:I2"/>
    <mergeCell ref="A3:A5"/>
    <mergeCell ref="B3:G3"/>
    <mergeCell ref="H3:I4"/>
  </mergeCells>
  <printOptions horizontalCentered="1"/>
  <pageMargins left="0.7874015748031497" right="0.7874015748031497" top="0.9055118110236221" bottom="0.5905511811023623" header="0.5118110236220472" footer="0.31496062992125984"/>
  <pageSetup fitToHeight="0" horizontalDpi="600" verticalDpi="600" orientation="landscape" paperSize="9" scale="75" r:id="rId1"/>
  <headerFooter alignWithMargins="0">
    <oddFooter>&amp;R札幌国税局　
消費税
（H28）</oddFooter>
  </headerFooter>
</worksheet>
</file>

<file path=xl/worksheets/sheet6.xml><?xml version="1.0" encoding="utf-8"?>
<worksheet xmlns="http://schemas.openxmlformats.org/spreadsheetml/2006/main" xmlns:r="http://schemas.openxmlformats.org/officeDocument/2006/relationships">
  <dimension ref="A1:R40"/>
  <sheetViews>
    <sheetView zoomScaleSheetLayoutView="100" workbookViewId="0" topLeftCell="A1">
      <selection activeCell="A1" sqref="A1"/>
    </sheetView>
  </sheetViews>
  <sheetFormatPr defaultColWidth="9.14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3.5">
      <c r="A1" s="1" t="s">
        <v>111</v>
      </c>
      <c r="B1" s="1"/>
      <c r="C1" s="1"/>
      <c r="D1" s="1"/>
      <c r="E1" s="1"/>
      <c r="F1" s="1"/>
      <c r="G1" s="1"/>
      <c r="H1" s="1"/>
      <c r="I1" s="1"/>
      <c r="J1" s="1"/>
      <c r="K1" s="1"/>
      <c r="L1" s="2"/>
      <c r="M1" s="2"/>
      <c r="N1" s="2"/>
      <c r="O1" s="2"/>
      <c r="P1" s="2"/>
    </row>
    <row r="2" spans="1:16" ht="14.25" thickBot="1">
      <c r="A2" s="193" t="s">
        <v>40</v>
      </c>
      <c r="B2" s="193"/>
      <c r="C2" s="193"/>
      <c r="D2" s="193"/>
      <c r="E2" s="193"/>
      <c r="F2" s="193"/>
      <c r="G2" s="193"/>
      <c r="H2" s="193"/>
      <c r="I2" s="193"/>
      <c r="J2" s="18"/>
      <c r="K2" s="18"/>
      <c r="L2" s="2"/>
      <c r="M2" s="2"/>
      <c r="N2" s="2"/>
      <c r="O2" s="2"/>
      <c r="P2" s="2"/>
    </row>
    <row r="3" spans="1:18" ht="19.5" customHeight="1">
      <c r="A3" s="181" t="s">
        <v>75</v>
      </c>
      <c r="B3" s="184" t="s">
        <v>80</v>
      </c>
      <c r="C3" s="184"/>
      <c r="D3" s="184"/>
      <c r="E3" s="184"/>
      <c r="F3" s="184"/>
      <c r="G3" s="184"/>
      <c r="H3" s="184" t="s">
        <v>1</v>
      </c>
      <c r="I3" s="184"/>
      <c r="J3" s="204" t="s">
        <v>2</v>
      </c>
      <c r="K3" s="184"/>
      <c r="L3" s="184" t="s">
        <v>3</v>
      </c>
      <c r="M3" s="184"/>
      <c r="N3" s="194" t="s">
        <v>87</v>
      </c>
      <c r="O3" s="195"/>
      <c r="P3" s="195"/>
      <c r="Q3" s="196"/>
      <c r="R3" s="185" t="s">
        <v>39</v>
      </c>
    </row>
    <row r="4" spans="1:18" ht="17.25" customHeight="1">
      <c r="A4" s="182"/>
      <c r="B4" s="188" t="s">
        <v>76</v>
      </c>
      <c r="C4" s="188"/>
      <c r="D4" s="188" t="s">
        <v>5</v>
      </c>
      <c r="E4" s="188"/>
      <c r="F4" s="188" t="s">
        <v>6</v>
      </c>
      <c r="G4" s="188"/>
      <c r="H4" s="188"/>
      <c r="I4" s="188"/>
      <c r="J4" s="188"/>
      <c r="K4" s="188"/>
      <c r="L4" s="188"/>
      <c r="M4" s="188"/>
      <c r="N4" s="197" t="s">
        <v>41</v>
      </c>
      <c r="O4" s="199" t="s">
        <v>88</v>
      </c>
      <c r="P4" s="201" t="s">
        <v>89</v>
      </c>
      <c r="Q4" s="180" t="s">
        <v>42</v>
      </c>
      <c r="R4" s="186"/>
    </row>
    <row r="5" spans="1:18" ht="28.5" customHeight="1">
      <c r="A5" s="183"/>
      <c r="B5" s="86" t="s">
        <v>77</v>
      </c>
      <c r="C5" s="26" t="s">
        <v>78</v>
      </c>
      <c r="D5" s="86" t="s">
        <v>77</v>
      </c>
      <c r="E5" s="26" t="s">
        <v>78</v>
      </c>
      <c r="F5" s="86" t="s">
        <v>77</v>
      </c>
      <c r="G5" s="26" t="s">
        <v>79</v>
      </c>
      <c r="H5" s="86" t="s">
        <v>77</v>
      </c>
      <c r="I5" s="26" t="s">
        <v>81</v>
      </c>
      <c r="J5" s="86" t="s">
        <v>77</v>
      </c>
      <c r="K5" s="26" t="s">
        <v>82</v>
      </c>
      <c r="L5" s="86" t="s">
        <v>77</v>
      </c>
      <c r="M5" s="22" t="s">
        <v>86</v>
      </c>
      <c r="N5" s="198"/>
      <c r="O5" s="200"/>
      <c r="P5" s="202"/>
      <c r="Q5" s="203"/>
      <c r="R5" s="187"/>
    </row>
    <row r="6" spans="1:18" s="20" customFormat="1" ht="10.5">
      <c r="A6" s="5"/>
      <c r="B6" s="6" t="s">
        <v>7</v>
      </c>
      <c r="C6" s="7" t="s">
        <v>8</v>
      </c>
      <c r="D6" s="6" t="s">
        <v>7</v>
      </c>
      <c r="E6" s="7" t="s">
        <v>8</v>
      </c>
      <c r="F6" s="6" t="s">
        <v>7</v>
      </c>
      <c r="G6" s="7" t="s">
        <v>8</v>
      </c>
      <c r="H6" s="6" t="s">
        <v>7</v>
      </c>
      <c r="I6" s="7" t="s">
        <v>8</v>
      </c>
      <c r="J6" s="6" t="s">
        <v>7</v>
      </c>
      <c r="K6" s="7" t="s">
        <v>8</v>
      </c>
      <c r="L6" s="6" t="s">
        <v>109</v>
      </c>
      <c r="M6" s="7" t="s">
        <v>8</v>
      </c>
      <c r="N6" s="6" t="s">
        <v>7</v>
      </c>
      <c r="O6" s="23" t="s">
        <v>7</v>
      </c>
      <c r="P6" s="23" t="s">
        <v>7</v>
      </c>
      <c r="Q6" s="24" t="s">
        <v>7</v>
      </c>
      <c r="R6" s="9"/>
    </row>
    <row r="7" spans="1:18" ht="18.75" customHeight="1">
      <c r="A7" s="11" t="s">
        <v>9</v>
      </c>
      <c r="B7" s="121">
        <f>_xlfn.COMPOUNDVALUE(241)</f>
        <v>3716</v>
      </c>
      <c r="C7" s="122">
        <v>52604984</v>
      </c>
      <c r="D7" s="121">
        <f>_xlfn.COMPOUNDVALUE(242)</f>
        <v>1179</v>
      </c>
      <c r="E7" s="122">
        <v>775864</v>
      </c>
      <c r="F7" s="121">
        <f>_xlfn.COMPOUNDVALUE(243)</f>
        <v>4895</v>
      </c>
      <c r="G7" s="122">
        <v>53380848</v>
      </c>
      <c r="H7" s="121">
        <f>_xlfn.COMPOUNDVALUE(244)</f>
        <v>327</v>
      </c>
      <c r="I7" s="123">
        <v>3597322</v>
      </c>
      <c r="J7" s="121">
        <v>440</v>
      </c>
      <c r="K7" s="123">
        <v>-500274</v>
      </c>
      <c r="L7" s="121">
        <v>5311</v>
      </c>
      <c r="M7" s="123">
        <v>49283252</v>
      </c>
      <c r="N7" s="121">
        <v>5378</v>
      </c>
      <c r="O7" s="133">
        <v>200</v>
      </c>
      <c r="P7" s="133">
        <v>53</v>
      </c>
      <c r="Q7" s="134">
        <v>5631</v>
      </c>
      <c r="R7" s="12" t="str">
        <f aca="true" t="shared" si="0" ref="R7:R37">IF(A7="","",A7)</f>
        <v>札幌中</v>
      </c>
    </row>
    <row r="8" spans="1:18" ht="18.75" customHeight="1">
      <c r="A8" s="11" t="s">
        <v>10</v>
      </c>
      <c r="B8" s="121">
        <f>_xlfn.COMPOUNDVALUE(245)</f>
        <v>7680</v>
      </c>
      <c r="C8" s="122">
        <v>53034955</v>
      </c>
      <c r="D8" s="121">
        <f>_xlfn.COMPOUNDVALUE(246)</f>
        <v>4440</v>
      </c>
      <c r="E8" s="122">
        <v>2258590</v>
      </c>
      <c r="F8" s="121">
        <f>_xlfn.COMPOUNDVALUE(247)</f>
        <v>12120</v>
      </c>
      <c r="G8" s="122">
        <v>55293545</v>
      </c>
      <c r="H8" s="121">
        <f>_xlfn.COMPOUNDVALUE(248)</f>
        <v>566</v>
      </c>
      <c r="I8" s="123">
        <v>1461614</v>
      </c>
      <c r="J8" s="121">
        <v>878</v>
      </c>
      <c r="K8" s="123">
        <v>200994</v>
      </c>
      <c r="L8" s="121">
        <v>12939</v>
      </c>
      <c r="M8" s="123">
        <v>54032925</v>
      </c>
      <c r="N8" s="121">
        <v>13015</v>
      </c>
      <c r="O8" s="133">
        <v>337</v>
      </c>
      <c r="P8" s="133">
        <v>48</v>
      </c>
      <c r="Q8" s="134">
        <v>13400</v>
      </c>
      <c r="R8" s="14" t="str">
        <f t="shared" si="0"/>
        <v>札幌北</v>
      </c>
    </row>
    <row r="9" spans="1:18" ht="18.75" customHeight="1">
      <c r="A9" s="11" t="s">
        <v>11</v>
      </c>
      <c r="B9" s="121">
        <f>_xlfn.COMPOUNDVALUE(249)</f>
        <v>6149</v>
      </c>
      <c r="C9" s="122">
        <v>28954894</v>
      </c>
      <c r="D9" s="121">
        <f>_xlfn.COMPOUNDVALUE(250)</f>
        <v>3570</v>
      </c>
      <c r="E9" s="122">
        <v>1882234</v>
      </c>
      <c r="F9" s="121">
        <f>_xlfn.COMPOUNDVALUE(251)</f>
        <v>9719</v>
      </c>
      <c r="G9" s="122">
        <v>30837128</v>
      </c>
      <c r="H9" s="121">
        <f>_xlfn.COMPOUNDVALUE(252)</f>
        <v>441</v>
      </c>
      <c r="I9" s="123">
        <v>2020328</v>
      </c>
      <c r="J9" s="121">
        <v>662</v>
      </c>
      <c r="K9" s="123">
        <v>106826</v>
      </c>
      <c r="L9" s="121">
        <v>10375</v>
      </c>
      <c r="M9" s="123">
        <v>28923627</v>
      </c>
      <c r="N9" s="121">
        <v>10628</v>
      </c>
      <c r="O9" s="133">
        <v>284</v>
      </c>
      <c r="P9" s="133">
        <v>30</v>
      </c>
      <c r="Q9" s="134">
        <v>10942</v>
      </c>
      <c r="R9" s="14" t="str">
        <f t="shared" si="0"/>
        <v>札幌南</v>
      </c>
    </row>
    <row r="10" spans="1:18" ht="18.75" customHeight="1">
      <c r="A10" s="11" t="s">
        <v>12</v>
      </c>
      <c r="B10" s="121">
        <f>_xlfn.COMPOUNDVALUE(253)</f>
        <v>6695</v>
      </c>
      <c r="C10" s="122">
        <v>44477490</v>
      </c>
      <c r="D10" s="121">
        <f>_xlfn.COMPOUNDVALUE(254)</f>
        <v>3484</v>
      </c>
      <c r="E10" s="122">
        <v>2050841</v>
      </c>
      <c r="F10" s="121">
        <f>_xlfn.COMPOUNDVALUE(255)</f>
        <v>10179</v>
      </c>
      <c r="G10" s="122">
        <v>46528331</v>
      </c>
      <c r="H10" s="121">
        <f>_xlfn.COMPOUNDVALUE(256)</f>
        <v>506</v>
      </c>
      <c r="I10" s="123">
        <v>2745123</v>
      </c>
      <c r="J10" s="121">
        <v>765</v>
      </c>
      <c r="K10" s="123">
        <v>82035</v>
      </c>
      <c r="L10" s="121">
        <v>10895</v>
      </c>
      <c r="M10" s="123">
        <v>43865244</v>
      </c>
      <c r="N10" s="121">
        <v>11045</v>
      </c>
      <c r="O10" s="133">
        <v>386</v>
      </c>
      <c r="P10" s="133">
        <v>55</v>
      </c>
      <c r="Q10" s="134">
        <v>11486</v>
      </c>
      <c r="R10" s="14" t="str">
        <f t="shared" si="0"/>
        <v>札幌西</v>
      </c>
    </row>
    <row r="11" spans="1:18" ht="18.75" customHeight="1">
      <c r="A11" s="11" t="s">
        <v>13</v>
      </c>
      <c r="B11" s="121">
        <f>_xlfn.COMPOUNDVALUE(257)</f>
        <v>4921</v>
      </c>
      <c r="C11" s="122">
        <v>33843217</v>
      </c>
      <c r="D11" s="121">
        <f>_xlfn.COMPOUNDVALUE(258)</f>
        <v>2559</v>
      </c>
      <c r="E11" s="122">
        <v>1395930</v>
      </c>
      <c r="F11" s="121">
        <f>_xlfn.COMPOUNDVALUE(259)</f>
        <v>7480</v>
      </c>
      <c r="G11" s="122">
        <v>35239147</v>
      </c>
      <c r="H11" s="121">
        <f>_xlfn.COMPOUNDVALUE(260)</f>
        <v>312</v>
      </c>
      <c r="I11" s="123">
        <v>1921189</v>
      </c>
      <c r="J11" s="121">
        <v>560</v>
      </c>
      <c r="K11" s="123">
        <v>86801</v>
      </c>
      <c r="L11" s="121">
        <v>7945</v>
      </c>
      <c r="M11" s="123">
        <v>33404759</v>
      </c>
      <c r="N11" s="121">
        <v>8059</v>
      </c>
      <c r="O11" s="133">
        <v>183</v>
      </c>
      <c r="P11" s="133">
        <v>20</v>
      </c>
      <c r="Q11" s="134">
        <v>8262</v>
      </c>
      <c r="R11" s="14" t="str">
        <f t="shared" si="0"/>
        <v>札幌東</v>
      </c>
    </row>
    <row r="12" spans="1:18" ht="18.75" customHeight="1">
      <c r="A12" s="11" t="s">
        <v>99</v>
      </c>
      <c r="B12" s="121">
        <f>_xlfn.COMPOUNDVALUE(261)</f>
        <v>4495</v>
      </c>
      <c r="C12" s="122">
        <v>19099727</v>
      </c>
      <c r="D12" s="121">
        <f>_xlfn.COMPOUNDVALUE(262)</f>
        <v>3883</v>
      </c>
      <c r="E12" s="122">
        <v>1778383</v>
      </c>
      <c r="F12" s="121">
        <f>_xlfn.COMPOUNDVALUE(263)</f>
        <v>8378</v>
      </c>
      <c r="G12" s="122">
        <v>20878109</v>
      </c>
      <c r="H12" s="121">
        <f>_xlfn.COMPOUNDVALUE(264)</f>
        <v>201</v>
      </c>
      <c r="I12" s="123">
        <v>1134465</v>
      </c>
      <c r="J12" s="121">
        <v>538</v>
      </c>
      <c r="K12" s="123">
        <v>87857</v>
      </c>
      <c r="L12" s="121">
        <v>8665</v>
      </c>
      <c r="M12" s="123">
        <v>19831502</v>
      </c>
      <c r="N12" s="121">
        <v>8739</v>
      </c>
      <c r="O12" s="133">
        <v>158</v>
      </c>
      <c r="P12" s="133">
        <v>11</v>
      </c>
      <c r="Q12" s="134">
        <v>8908</v>
      </c>
      <c r="R12" s="14" t="str">
        <f t="shared" si="0"/>
        <v>函館</v>
      </c>
    </row>
    <row r="13" spans="1:18" ht="18.75" customHeight="1">
      <c r="A13" s="11" t="s">
        <v>14</v>
      </c>
      <c r="B13" s="121">
        <f>_xlfn.COMPOUNDVALUE(265)</f>
        <v>1521</v>
      </c>
      <c r="C13" s="122">
        <v>8299291</v>
      </c>
      <c r="D13" s="121">
        <f>_xlfn.COMPOUNDVALUE(266)</f>
        <v>856</v>
      </c>
      <c r="E13" s="122">
        <v>382115</v>
      </c>
      <c r="F13" s="121">
        <f>_xlfn.COMPOUNDVALUE(267)</f>
        <v>2377</v>
      </c>
      <c r="G13" s="122">
        <v>8681407</v>
      </c>
      <c r="H13" s="121">
        <f>_xlfn.COMPOUNDVALUE(268)</f>
        <v>161</v>
      </c>
      <c r="I13" s="123">
        <v>433699</v>
      </c>
      <c r="J13" s="121">
        <v>169</v>
      </c>
      <c r="K13" s="123">
        <v>13851</v>
      </c>
      <c r="L13" s="121">
        <v>2578</v>
      </c>
      <c r="M13" s="123">
        <v>8261559</v>
      </c>
      <c r="N13" s="121">
        <v>2459</v>
      </c>
      <c r="O13" s="133">
        <v>86</v>
      </c>
      <c r="P13" s="133">
        <v>11</v>
      </c>
      <c r="Q13" s="134">
        <v>2556</v>
      </c>
      <c r="R13" s="14" t="str">
        <f t="shared" si="0"/>
        <v>小樽</v>
      </c>
    </row>
    <row r="14" spans="1:18" ht="18.75" customHeight="1">
      <c r="A14" s="11" t="s">
        <v>15</v>
      </c>
      <c r="B14" s="121">
        <f>_xlfn.COMPOUNDVALUE(269)</f>
        <v>1671</v>
      </c>
      <c r="C14" s="122">
        <v>7741767</v>
      </c>
      <c r="D14" s="121">
        <f>_xlfn.COMPOUNDVALUE(270)</f>
        <v>1262</v>
      </c>
      <c r="E14" s="122">
        <v>635282</v>
      </c>
      <c r="F14" s="121">
        <f>_xlfn.COMPOUNDVALUE(271)</f>
        <v>2933</v>
      </c>
      <c r="G14" s="122">
        <v>8377049</v>
      </c>
      <c r="H14" s="121">
        <f>_xlfn.COMPOUNDVALUE(272)</f>
        <v>95</v>
      </c>
      <c r="I14" s="123">
        <v>320511</v>
      </c>
      <c r="J14" s="121">
        <v>197</v>
      </c>
      <c r="K14" s="123">
        <v>32706</v>
      </c>
      <c r="L14" s="121">
        <v>3070</v>
      </c>
      <c r="M14" s="123">
        <v>8089244</v>
      </c>
      <c r="N14" s="121">
        <v>3055</v>
      </c>
      <c r="O14" s="133">
        <v>83</v>
      </c>
      <c r="P14" s="133">
        <v>9</v>
      </c>
      <c r="Q14" s="134">
        <v>3147</v>
      </c>
      <c r="R14" s="14" t="str">
        <f t="shared" si="0"/>
        <v>旭川中</v>
      </c>
    </row>
    <row r="15" spans="1:18" ht="18.75" customHeight="1">
      <c r="A15" s="11" t="s">
        <v>16</v>
      </c>
      <c r="B15" s="121">
        <f>_xlfn.COMPOUNDVALUE(273)</f>
        <v>3192</v>
      </c>
      <c r="C15" s="122">
        <v>12191214</v>
      </c>
      <c r="D15" s="121">
        <f>_xlfn.COMPOUNDVALUE(274)</f>
        <v>2560</v>
      </c>
      <c r="E15" s="122">
        <v>1166646</v>
      </c>
      <c r="F15" s="121">
        <f>_xlfn.COMPOUNDVALUE(275)</f>
        <v>5752</v>
      </c>
      <c r="G15" s="122">
        <v>13357860</v>
      </c>
      <c r="H15" s="121">
        <f>_xlfn.COMPOUNDVALUE(276)</f>
        <v>198</v>
      </c>
      <c r="I15" s="123">
        <v>446312</v>
      </c>
      <c r="J15" s="121">
        <v>365</v>
      </c>
      <c r="K15" s="123">
        <v>30824</v>
      </c>
      <c r="L15" s="121">
        <v>6019</v>
      </c>
      <c r="M15" s="123">
        <v>12942372</v>
      </c>
      <c r="N15" s="121">
        <v>5938</v>
      </c>
      <c r="O15" s="133">
        <v>141</v>
      </c>
      <c r="P15" s="133">
        <v>11</v>
      </c>
      <c r="Q15" s="134">
        <v>6090</v>
      </c>
      <c r="R15" s="14" t="str">
        <f t="shared" si="0"/>
        <v>旭川東</v>
      </c>
    </row>
    <row r="16" spans="1:18" ht="18.75" customHeight="1">
      <c r="A16" s="11" t="s">
        <v>17</v>
      </c>
      <c r="B16" s="121">
        <f>_xlfn.COMPOUNDVALUE(277)</f>
        <v>2006</v>
      </c>
      <c r="C16" s="122">
        <v>10472018</v>
      </c>
      <c r="D16" s="121">
        <f>_xlfn.COMPOUNDVALUE(278)</f>
        <v>1704</v>
      </c>
      <c r="E16" s="122">
        <v>832285</v>
      </c>
      <c r="F16" s="121">
        <f>_xlfn.COMPOUNDVALUE(279)</f>
        <v>3710</v>
      </c>
      <c r="G16" s="122">
        <v>11304304</v>
      </c>
      <c r="H16" s="121">
        <f>_xlfn.COMPOUNDVALUE(280)</f>
        <v>114</v>
      </c>
      <c r="I16" s="123">
        <v>963554</v>
      </c>
      <c r="J16" s="121">
        <v>219</v>
      </c>
      <c r="K16" s="123">
        <v>10052</v>
      </c>
      <c r="L16" s="121">
        <v>3874</v>
      </c>
      <c r="M16" s="123">
        <v>10350801</v>
      </c>
      <c r="N16" s="121">
        <v>3858</v>
      </c>
      <c r="O16" s="133">
        <v>88</v>
      </c>
      <c r="P16" s="133">
        <v>4</v>
      </c>
      <c r="Q16" s="134">
        <v>3950</v>
      </c>
      <c r="R16" s="14" t="str">
        <f t="shared" si="0"/>
        <v>室蘭</v>
      </c>
    </row>
    <row r="17" spans="1:18" ht="18.75" customHeight="1">
      <c r="A17" s="11" t="s">
        <v>18</v>
      </c>
      <c r="B17" s="121">
        <f>_xlfn.COMPOUNDVALUE(281)</f>
        <v>3648</v>
      </c>
      <c r="C17" s="122">
        <v>13547273</v>
      </c>
      <c r="D17" s="121">
        <f>_xlfn.COMPOUNDVALUE(282)</f>
        <v>2237</v>
      </c>
      <c r="E17" s="122">
        <v>1136787</v>
      </c>
      <c r="F17" s="121">
        <f>_xlfn.COMPOUNDVALUE(283)</f>
        <v>5885</v>
      </c>
      <c r="G17" s="122">
        <v>14684061</v>
      </c>
      <c r="H17" s="121">
        <f>_xlfn.COMPOUNDVALUE(284)</f>
        <v>214</v>
      </c>
      <c r="I17" s="123">
        <v>575236</v>
      </c>
      <c r="J17" s="121">
        <v>429</v>
      </c>
      <c r="K17" s="123">
        <v>104020</v>
      </c>
      <c r="L17" s="121">
        <v>6227</v>
      </c>
      <c r="M17" s="123">
        <v>14212845</v>
      </c>
      <c r="N17" s="121">
        <v>6150</v>
      </c>
      <c r="O17" s="133">
        <v>172</v>
      </c>
      <c r="P17" s="133">
        <v>17</v>
      </c>
      <c r="Q17" s="134">
        <v>6339</v>
      </c>
      <c r="R17" s="14" t="str">
        <f t="shared" si="0"/>
        <v>釧路</v>
      </c>
    </row>
    <row r="18" spans="1:18" ht="18.75" customHeight="1">
      <c r="A18" s="11" t="s">
        <v>19</v>
      </c>
      <c r="B18" s="121">
        <f>_xlfn.COMPOUNDVALUE(285)</f>
        <v>6035</v>
      </c>
      <c r="C18" s="122">
        <v>23619766</v>
      </c>
      <c r="D18" s="121">
        <f>_xlfn.COMPOUNDVALUE(286)</f>
        <v>3310</v>
      </c>
      <c r="E18" s="122">
        <v>1701066</v>
      </c>
      <c r="F18" s="121">
        <f>_xlfn.COMPOUNDVALUE(287)</f>
        <v>9345</v>
      </c>
      <c r="G18" s="122">
        <v>25320832</v>
      </c>
      <c r="H18" s="121">
        <f>_xlfn.COMPOUNDVALUE(288)</f>
        <v>1143</v>
      </c>
      <c r="I18" s="123">
        <v>2614624</v>
      </c>
      <c r="J18" s="121">
        <v>477</v>
      </c>
      <c r="K18" s="123">
        <v>107362</v>
      </c>
      <c r="L18" s="121">
        <v>10596</v>
      </c>
      <c r="M18" s="123">
        <v>22813571</v>
      </c>
      <c r="N18" s="121">
        <v>10193</v>
      </c>
      <c r="O18" s="133">
        <v>404</v>
      </c>
      <c r="P18" s="133">
        <v>16</v>
      </c>
      <c r="Q18" s="134">
        <v>10613</v>
      </c>
      <c r="R18" s="14" t="str">
        <f t="shared" si="0"/>
        <v>帯広</v>
      </c>
    </row>
    <row r="19" spans="1:18" ht="18.75" customHeight="1">
      <c r="A19" s="11" t="s">
        <v>20</v>
      </c>
      <c r="B19" s="121">
        <f>_xlfn.COMPOUNDVALUE(289)</f>
        <v>2150</v>
      </c>
      <c r="C19" s="122">
        <v>8065821</v>
      </c>
      <c r="D19" s="121">
        <f>_xlfn.COMPOUNDVALUE(290)</f>
        <v>1777</v>
      </c>
      <c r="E19" s="122">
        <v>883010</v>
      </c>
      <c r="F19" s="121">
        <f>_xlfn.COMPOUNDVALUE(291)</f>
        <v>3927</v>
      </c>
      <c r="G19" s="122">
        <v>8948831</v>
      </c>
      <c r="H19" s="121">
        <f>_xlfn.COMPOUNDVALUE(292)</f>
        <v>182</v>
      </c>
      <c r="I19" s="123">
        <v>358005</v>
      </c>
      <c r="J19" s="121">
        <v>210</v>
      </c>
      <c r="K19" s="123">
        <v>49287</v>
      </c>
      <c r="L19" s="121">
        <v>4181</v>
      </c>
      <c r="M19" s="123">
        <v>8640112</v>
      </c>
      <c r="N19" s="121">
        <v>4217</v>
      </c>
      <c r="O19" s="133">
        <v>103</v>
      </c>
      <c r="P19" s="133">
        <v>6</v>
      </c>
      <c r="Q19" s="134">
        <v>4326</v>
      </c>
      <c r="R19" s="14" t="str">
        <f t="shared" si="0"/>
        <v>北見</v>
      </c>
    </row>
    <row r="20" spans="1:18" ht="18.75" customHeight="1">
      <c r="A20" s="11" t="s">
        <v>21</v>
      </c>
      <c r="B20" s="121">
        <f>_xlfn.COMPOUNDVALUE(293)</f>
        <v>1848</v>
      </c>
      <c r="C20" s="122">
        <v>6224522</v>
      </c>
      <c r="D20" s="121">
        <f>_xlfn.COMPOUNDVALUE(294)</f>
        <v>2561</v>
      </c>
      <c r="E20" s="122">
        <v>1072216</v>
      </c>
      <c r="F20" s="121">
        <f>_xlfn.COMPOUNDVALUE(295)</f>
        <v>4409</v>
      </c>
      <c r="G20" s="122">
        <v>7296738</v>
      </c>
      <c r="H20" s="121">
        <f>_xlfn.COMPOUNDVALUE(296)</f>
        <v>293</v>
      </c>
      <c r="I20" s="123">
        <v>468182</v>
      </c>
      <c r="J20" s="121">
        <v>236</v>
      </c>
      <c r="K20" s="123">
        <v>16277</v>
      </c>
      <c r="L20" s="121">
        <v>4743</v>
      </c>
      <c r="M20" s="123">
        <v>6844833</v>
      </c>
      <c r="N20" s="121">
        <v>4761</v>
      </c>
      <c r="O20" s="133">
        <v>142</v>
      </c>
      <c r="P20" s="133">
        <v>3</v>
      </c>
      <c r="Q20" s="134">
        <v>4906</v>
      </c>
      <c r="R20" s="14" t="str">
        <f t="shared" si="0"/>
        <v>岩見沢</v>
      </c>
    </row>
    <row r="21" spans="1:18" ht="18.75" customHeight="1">
      <c r="A21" s="11" t="s">
        <v>22</v>
      </c>
      <c r="B21" s="121">
        <f>_xlfn.COMPOUNDVALUE(297)</f>
        <v>1788</v>
      </c>
      <c r="C21" s="122">
        <v>6000166</v>
      </c>
      <c r="D21" s="121">
        <f>_xlfn.COMPOUNDVALUE(298)</f>
        <v>1458</v>
      </c>
      <c r="E21" s="122">
        <v>667049</v>
      </c>
      <c r="F21" s="121">
        <f>_xlfn.COMPOUNDVALUE(299)</f>
        <v>3246</v>
      </c>
      <c r="G21" s="122">
        <v>6667215</v>
      </c>
      <c r="H21" s="121">
        <f>_xlfn.COMPOUNDVALUE(300)</f>
        <v>733</v>
      </c>
      <c r="I21" s="123">
        <v>395779</v>
      </c>
      <c r="J21" s="121">
        <v>127</v>
      </c>
      <c r="K21" s="123">
        <v>38507</v>
      </c>
      <c r="L21" s="121">
        <v>4028</v>
      </c>
      <c r="M21" s="123">
        <v>6309942</v>
      </c>
      <c r="N21" s="121">
        <v>4230</v>
      </c>
      <c r="O21" s="133">
        <v>105</v>
      </c>
      <c r="P21" s="133">
        <v>7</v>
      </c>
      <c r="Q21" s="134">
        <v>4342</v>
      </c>
      <c r="R21" s="14" t="str">
        <f t="shared" si="0"/>
        <v>網走</v>
      </c>
    </row>
    <row r="22" spans="1:18" ht="18.75" customHeight="1">
      <c r="A22" s="11" t="s">
        <v>23</v>
      </c>
      <c r="B22" s="121">
        <f>_xlfn.COMPOUNDVALUE(301)</f>
        <v>640</v>
      </c>
      <c r="C22" s="122">
        <v>2155940</v>
      </c>
      <c r="D22" s="121">
        <f>_xlfn.COMPOUNDVALUE(302)</f>
        <v>646</v>
      </c>
      <c r="E22" s="122">
        <v>279120</v>
      </c>
      <c r="F22" s="121">
        <f>_xlfn.COMPOUNDVALUE(303)</f>
        <v>1286</v>
      </c>
      <c r="G22" s="122">
        <v>2435060</v>
      </c>
      <c r="H22" s="121">
        <f>_xlfn.COMPOUNDVALUE(304)</f>
        <v>43</v>
      </c>
      <c r="I22" s="123">
        <v>132218</v>
      </c>
      <c r="J22" s="121">
        <v>51</v>
      </c>
      <c r="K22" s="123">
        <v>15694</v>
      </c>
      <c r="L22" s="121">
        <v>1349</v>
      </c>
      <c r="M22" s="123">
        <v>2318535</v>
      </c>
      <c r="N22" s="121">
        <v>1329</v>
      </c>
      <c r="O22" s="133">
        <v>32</v>
      </c>
      <c r="P22" s="133">
        <v>0</v>
      </c>
      <c r="Q22" s="134">
        <v>1361</v>
      </c>
      <c r="R22" s="14" t="str">
        <f t="shared" si="0"/>
        <v>留萌</v>
      </c>
    </row>
    <row r="23" spans="1:18" ht="18.75" customHeight="1">
      <c r="A23" s="11" t="s">
        <v>24</v>
      </c>
      <c r="B23" s="121">
        <f>_xlfn.COMPOUNDVALUE(305)</f>
        <v>2961</v>
      </c>
      <c r="C23" s="122">
        <v>18142319</v>
      </c>
      <c r="D23" s="121">
        <f>_xlfn.COMPOUNDVALUE(306)</f>
        <v>2273</v>
      </c>
      <c r="E23" s="122">
        <v>1112377</v>
      </c>
      <c r="F23" s="121">
        <f>_xlfn.COMPOUNDVALUE(307)</f>
        <v>5234</v>
      </c>
      <c r="G23" s="122">
        <v>19254696</v>
      </c>
      <c r="H23" s="121">
        <f>_xlfn.COMPOUNDVALUE(308)</f>
        <v>223</v>
      </c>
      <c r="I23" s="123">
        <v>1161784</v>
      </c>
      <c r="J23" s="121">
        <v>343</v>
      </c>
      <c r="K23" s="123">
        <v>485379</v>
      </c>
      <c r="L23" s="121">
        <v>5532</v>
      </c>
      <c r="M23" s="123">
        <v>18578291</v>
      </c>
      <c r="N23" s="121">
        <v>5529</v>
      </c>
      <c r="O23" s="133">
        <v>159</v>
      </c>
      <c r="P23" s="133">
        <v>10</v>
      </c>
      <c r="Q23" s="134">
        <v>5698</v>
      </c>
      <c r="R23" s="14" t="str">
        <f t="shared" si="0"/>
        <v>苫小牧</v>
      </c>
    </row>
    <row r="24" spans="1:18" ht="18.75" customHeight="1">
      <c r="A24" s="13" t="s">
        <v>25</v>
      </c>
      <c r="B24" s="124">
        <f>_xlfn.COMPOUNDVALUE(309)</f>
        <v>1881</v>
      </c>
      <c r="C24" s="125">
        <v>5755523</v>
      </c>
      <c r="D24" s="124">
        <f>_xlfn.COMPOUNDVALUE(310)</f>
        <v>1515</v>
      </c>
      <c r="E24" s="125">
        <v>818685</v>
      </c>
      <c r="F24" s="124">
        <f>_xlfn.COMPOUNDVALUE(311)</f>
        <v>3396</v>
      </c>
      <c r="G24" s="125">
        <v>6574208</v>
      </c>
      <c r="H24" s="124">
        <f>_xlfn.COMPOUNDVALUE(312)</f>
        <v>138</v>
      </c>
      <c r="I24" s="126">
        <v>649624</v>
      </c>
      <c r="J24" s="124">
        <v>132</v>
      </c>
      <c r="K24" s="126">
        <v>20255</v>
      </c>
      <c r="L24" s="124">
        <v>3561</v>
      </c>
      <c r="M24" s="126">
        <v>5944839</v>
      </c>
      <c r="N24" s="121">
        <v>3430</v>
      </c>
      <c r="O24" s="133">
        <v>113</v>
      </c>
      <c r="P24" s="133">
        <v>6</v>
      </c>
      <c r="Q24" s="134">
        <v>3549</v>
      </c>
      <c r="R24" s="14" t="str">
        <f t="shared" si="0"/>
        <v>稚内</v>
      </c>
    </row>
    <row r="25" spans="1:18" ht="18.75" customHeight="1">
      <c r="A25" s="13" t="s">
        <v>26</v>
      </c>
      <c r="B25" s="124">
        <f>_xlfn.COMPOUNDVALUE(313)</f>
        <v>1450</v>
      </c>
      <c r="C25" s="125">
        <v>4289729</v>
      </c>
      <c r="D25" s="124">
        <f>_xlfn.COMPOUNDVALUE(314)</f>
        <v>988</v>
      </c>
      <c r="E25" s="125">
        <v>516047</v>
      </c>
      <c r="F25" s="124">
        <f>_xlfn.COMPOUNDVALUE(315)</f>
        <v>2438</v>
      </c>
      <c r="G25" s="125">
        <v>4805776</v>
      </c>
      <c r="H25" s="124">
        <f>_xlfn.COMPOUNDVALUE(316)</f>
        <v>104</v>
      </c>
      <c r="I25" s="126">
        <v>662456</v>
      </c>
      <c r="J25" s="124">
        <v>120</v>
      </c>
      <c r="K25" s="126">
        <v>11750</v>
      </c>
      <c r="L25" s="124">
        <v>2565</v>
      </c>
      <c r="M25" s="126">
        <v>4155070</v>
      </c>
      <c r="N25" s="121">
        <v>2454</v>
      </c>
      <c r="O25" s="133">
        <v>105</v>
      </c>
      <c r="P25" s="133">
        <v>0</v>
      </c>
      <c r="Q25" s="134">
        <v>2559</v>
      </c>
      <c r="R25" s="14" t="str">
        <f t="shared" si="0"/>
        <v>紋別</v>
      </c>
    </row>
    <row r="26" spans="1:18" ht="18.75" customHeight="1">
      <c r="A26" s="13" t="s">
        <v>27</v>
      </c>
      <c r="B26" s="124">
        <f>_xlfn.COMPOUNDVALUE(317)</f>
        <v>999</v>
      </c>
      <c r="C26" s="125">
        <v>2826892</v>
      </c>
      <c r="D26" s="124">
        <f>_xlfn.COMPOUNDVALUE(318)</f>
        <v>982</v>
      </c>
      <c r="E26" s="125">
        <v>384907</v>
      </c>
      <c r="F26" s="124">
        <f>_xlfn.COMPOUNDVALUE(319)</f>
        <v>1981</v>
      </c>
      <c r="G26" s="125">
        <v>3211799</v>
      </c>
      <c r="H26" s="124">
        <f>_xlfn.COMPOUNDVALUE(320)</f>
        <v>194</v>
      </c>
      <c r="I26" s="126">
        <v>194385</v>
      </c>
      <c r="J26" s="124">
        <v>98</v>
      </c>
      <c r="K26" s="126">
        <v>-364</v>
      </c>
      <c r="L26" s="124">
        <v>2204</v>
      </c>
      <c r="M26" s="126">
        <v>3017050</v>
      </c>
      <c r="N26" s="121">
        <v>2183</v>
      </c>
      <c r="O26" s="133">
        <v>63</v>
      </c>
      <c r="P26" s="133">
        <v>1</v>
      </c>
      <c r="Q26" s="134">
        <v>2247</v>
      </c>
      <c r="R26" s="14" t="str">
        <f t="shared" si="0"/>
        <v>名寄</v>
      </c>
    </row>
    <row r="27" spans="1:18" ht="18.75" customHeight="1">
      <c r="A27" s="13" t="s">
        <v>28</v>
      </c>
      <c r="B27" s="124">
        <f>_xlfn.COMPOUNDVALUE(321)</f>
        <v>2213</v>
      </c>
      <c r="C27" s="125">
        <v>6515680</v>
      </c>
      <c r="D27" s="124">
        <f>_xlfn.COMPOUNDVALUE(322)</f>
        <v>1858</v>
      </c>
      <c r="E27" s="125">
        <v>926039</v>
      </c>
      <c r="F27" s="124">
        <f>_xlfn.COMPOUNDVALUE(323)</f>
        <v>4071</v>
      </c>
      <c r="G27" s="125">
        <v>7441719</v>
      </c>
      <c r="H27" s="124">
        <f>_xlfn.COMPOUNDVALUE(324)</f>
        <v>184</v>
      </c>
      <c r="I27" s="126">
        <v>712595</v>
      </c>
      <c r="J27" s="124">
        <v>143</v>
      </c>
      <c r="K27" s="126">
        <v>30764</v>
      </c>
      <c r="L27" s="124">
        <v>4297</v>
      </c>
      <c r="M27" s="126">
        <v>6759888</v>
      </c>
      <c r="N27" s="121">
        <v>4275</v>
      </c>
      <c r="O27" s="133">
        <v>164</v>
      </c>
      <c r="P27" s="133">
        <v>4</v>
      </c>
      <c r="Q27" s="134">
        <v>4443</v>
      </c>
      <c r="R27" s="14" t="str">
        <f t="shared" si="0"/>
        <v>根室</v>
      </c>
    </row>
    <row r="28" spans="1:18" ht="18.75" customHeight="1">
      <c r="A28" s="13" t="s">
        <v>29</v>
      </c>
      <c r="B28" s="124">
        <f>_xlfn.COMPOUNDVALUE(325)</f>
        <v>1060</v>
      </c>
      <c r="C28" s="125">
        <v>5669619</v>
      </c>
      <c r="D28" s="124">
        <f>_xlfn.COMPOUNDVALUE(326)</f>
        <v>1167</v>
      </c>
      <c r="E28" s="125">
        <v>514935</v>
      </c>
      <c r="F28" s="124">
        <f>_xlfn.COMPOUNDVALUE(327)</f>
        <v>2227</v>
      </c>
      <c r="G28" s="125">
        <v>6184554</v>
      </c>
      <c r="H28" s="124">
        <f>_xlfn.COMPOUNDVALUE(328)</f>
        <v>54</v>
      </c>
      <c r="I28" s="126">
        <v>164328</v>
      </c>
      <c r="J28" s="124">
        <v>144</v>
      </c>
      <c r="K28" s="126">
        <v>12472</v>
      </c>
      <c r="L28" s="124">
        <v>2305</v>
      </c>
      <c r="M28" s="126">
        <v>6032698</v>
      </c>
      <c r="N28" s="121">
        <v>2411</v>
      </c>
      <c r="O28" s="133">
        <v>49</v>
      </c>
      <c r="P28" s="133">
        <v>5</v>
      </c>
      <c r="Q28" s="134">
        <v>2465</v>
      </c>
      <c r="R28" s="14" t="str">
        <f t="shared" si="0"/>
        <v>滝川</v>
      </c>
    </row>
    <row r="29" spans="1:18" ht="18.75" customHeight="1">
      <c r="A29" s="13" t="s">
        <v>30</v>
      </c>
      <c r="B29" s="124">
        <f>_xlfn.COMPOUNDVALUE(329)</f>
        <v>502</v>
      </c>
      <c r="C29" s="125">
        <v>1529404</v>
      </c>
      <c r="D29" s="124">
        <f>_xlfn.COMPOUNDVALUE(330)</f>
        <v>1086</v>
      </c>
      <c r="E29" s="125">
        <v>425257</v>
      </c>
      <c r="F29" s="124">
        <f>_xlfn.COMPOUNDVALUE(331)</f>
        <v>1588</v>
      </c>
      <c r="G29" s="125">
        <v>1954661</v>
      </c>
      <c r="H29" s="124">
        <f>_xlfn.COMPOUNDVALUE(332)</f>
        <v>56</v>
      </c>
      <c r="I29" s="126">
        <v>168303</v>
      </c>
      <c r="J29" s="124">
        <v>131</v>
      </c>
      <c r="K29" s="126">
        <v>9112</v>
      </c>
      <c r="L29" s="124">
        <v>1655</v>
      </c>
      <c r="M29" s="126">
        <v>1795469</v>
      </c>
      <c r="N29" s="121">
        <v>1716</v>
      </c>
      <c r="O29" s="133">
        <v>24</v>
      </c>
      <c r="P29" s="133">
        <v>0</v>
      </c>
      <c r="Q29" s="134">
        <v>1740</v>
      </c>
      <c r="R29" s="14" t="str">
        <f t="shared" si="0"/>
        <v>深川</v>
      </c>
    </row>
    <row r="30" spans="1:18" ht="18.75" customHeight="1">
      <c r="A30" s="13" t="s">
        <v>31</v>
      </c>
      <c r="B30" s="124">
        <f>_xlfn.COMPOUNDVALUE(333)</f>
        <v>576</v>
      </c>
      <c r="C30" s="125">
        <v>2140156</v>
      </c>
      <c r="D30" s="124">
        <f>_xlfn.COMPOUNDVALUE(334)</f>
        <v>843</v>
      </c>
      <c r="E30" s="125">
        <v>354097</v>
      </c>
      <c r="F30" s="124">
        <f>_xlfn.COMPOUNDVALUE(335)</f>
        <v>1419</v>
      </c>
      <c r="G30" s="125">
        <v>2494252</v>
      </c>
      <c r="H30" s="124">
        <f>_xlfn.COMPOUNDVALUE(336)</f>
        <v>83</v>
      </c>
      <c r="I30" s="126">
        <v>111516</v>
      </c>
      <c r="J30" s="124">
        <v>66</v>
      </c>
      <c r="K30" s="126">
        <v>13002</v>
      </c>
      <c r="L30" s="124">
        <v>1514</v>
      </c>
      <c r="M30" s="126">
        <v>2395738</v>
      </c>
      <c r="N30" s="121">
        <v>1542</v>
      </c>
      <c r="O30" s="133">
        <v>46</v>
      </c>
      <c r="P30" s="133">
        <v>2</v>
      </c>
      <c r="Q30" s="134">
        <v>1590</v>
      </c>
      <c r="R30" s="14" t="str">
        <f t="shared" si="0"/>
        <v>富良野</v>
      </c>
    </row>
    <row r="31" spans="1:18" ht="18.75" customHeight="1">
      <c r="A31" s="13" t="s">
        <v>32</v>
      </c>
      <c r="B31" s="124">
        <f>_xlfn.COMPOUNDVALUE(337)</f>
        <v>899</v>
      </c>
      <c r="C31" s="125">
        <v>2212262</v>
      </c>
      <c r="D31" s="124">
        <f>_xlfn.COMPOUNDVALUE(338)</f>
        <v>1310</v>
      </c>
      <c r="E31" s="125">
        <v>594150</v>
      </c>
      <c r="F31" s="124">
        <f>_xlfn.COMPOUNDVALUE(339)</f>
        <v>2209</v>
      </c>
      <c r="G31" s="125">
        <v>2806412</v>
      </c>
      <c r="H31" s="124">
        <f>_xlfn.COMPOUNDVALUE(340)</f>
        <v>62</v>
      </c>
      <c r="I31" s="126">
        <v>212097</v>
      </c>
      <c r="J31" s="124">
        <v>92</v>
      </c>
      <c r="K31" s="126">
        <v>19995</v>
      </c>
      <c r="L31" s="124">
        <v>2285</v>
      </c>
      <c r="M31" s="126">
        <v>2614309</v>
      </c>
      <c r="N31" s="121">
        <v>2287</v>
      </c>
      <c r="O31" s="133">
        <v>43</v>
      </c>
      <c r="P31" s="133">
        <v>5</v>
      </c>
      <c r="Q31" s="134">
        <v>2335</v>
      </c>
      <c r="R31" s="14" t="str">
        <f t="shared" si="0"/>
        <v>八雲</v>
      </c>
    </row>
    <row r="32" spans="1:18" ht="18.75" customHeight="1">
      <c r="A32" s="13" t="s">
        <v>33</v>
      </c>
      <c r="B32" s="124">
        <f>_xlfn.COMPOUNDVALUE(341)</f>
        <v>326</v>
      </c>
      <c r="C32" s="125">
        <v>908498</v>
      </c>
      <c r="D32" s="124">
        <f>_xlfn.COMPOUNDVALUE(342)</f>
        <v>345</v>
      </c>
      <c r="E32" s="125">
        <v>141447</v>
      </c>
      <c r="F32" s="124">
        <f>_xlfn.COMPOUNDVALUE(343)</f>
        <v>671</v>
      </c>
      <c r="G32" s="125">
        <v>1049945</v>
      </c>
      <c r="H32" s="124">
        <f>_xlfn.COMPOUNDVALUE(344)</f>
        <v>27</v>
      </c>
      <c r="I32" s="126">
        <v>58633</v>
      </c>
      <c r="J32" s="124">
        <v>49</v>
      </c>
      <c r="K32" s="126">
        <v>18539</v>
      </c>
      <c r="L32" s="124">
        <v>704</v>
      </c>
      <c r="M32" s="126">
        <v>1009851</v>
      </c>
      <c r="N32" s="121">
        <v>787</v>
      </c>
      <c r="O32" s="133">
        <v>26</v>
      </c>
      <c r="P32" s="133">
        <v>1</v>
      </c>
      <c r="Q32" s="134">
        <v>814</v>
      </c>
      <c r="R32" s="14" t="str">
        <f t="shared" si="0"/>
        <v>江差</v>
      </c>
    </row>
    <row r="33" spans="1:18" ht="18.75" customHeight="1">
      <c r="A33" s="13" t="s">
        <v>34</v>
      </c>
      <c r="B33" s="124">
        <f>_xlfn.COMPOUNDVALUE(345)</f>
        <v>1221</v>
      </c>
      <c r="C33" s="125">
        <v>3643180</v>
      </c>
      <c r="D33" s="124">
        <f>_xlfn.COMPOUNDVALUE(346)</f>
        <v>1219</v>
      </c>
      <c r="E33" s="125">
        <v>599087</v>
      </c>
      <c r="F33" s="124">
        <f>_xlfn.COMPOUNDVALUE(347)</f>
        <v>2440</v>
      </c>
      <c r="G33" s="125">
        <v>4242267</v>
      </c>
      <c r="H33" s="124">
        <f>_xlfn.COMPOUNDVALUE(348)</f>
        <v>224</v>
      </c>
      <c r="I33" s="126">
        <v>1493249</v>
      </c>
      <c r="J33" s="124">
        <v>153</v>
      </c>
      <c r="K33" s="126">
        <v>23367</v>
      </c>
      <c r="L33" s="124">
        <v>2695</v>
      </c>
      <c r="M33" s="126">
        <v>2772385</v>
      </c>
      <c r="N33" s="121">
        <v>2474</v>
      </c>
      <c r="O33" s="133">
        <v>284</v>
      </c>
      <c r="P33" s="133">
        <v>2</v>
      </c>
      <c r="Q33" s="134">
        <v>2760</v>
      </c>
      <c r="R33" s="14" t="str">
        <f t="shared" si="0"/>
        <v>倶知安</v>
      </c>
    </row>
    <row r="34" spans="1:18" ht="18.75" customHeight="1">
      <c r="A34" s="13" t="s">
        <v>35</v>
      </c>
      <c r="B34" s="124">
        <f>_xlfn.COMPOUNDVALUE(349)</f>
        <v>385</v>
      </c>
      <c r="C34" s="125">
        <v>3074010</v>
      </c>
      <c r="D34" s="124">
        <f>_xlfn.COMPOUNDVALUE(350)</f>
        <v>493</v>
      </c>
      <c r="E34" s="125">
        <v>201077</v>
      </c>
      <c r="F34" s="124">
        <f>_xlfn.COMPOUNDVALUE(351)</f>
        <v>878</v>
      </c>
      <c r="G34" s="125">
        <v>3275087</v>
      </c>
      <c r="H34" s="124">
        <f>_xlfn.COMPOUNDVALUE(352)</f>
        <v>39</v>
      </c>
      <c r="I34" s="126">
        <v>68760</v>
      </c>
      <c r="J34" s="124">
        <v>72</v>
      </c>
      <c r="K34" s="126">
        <v>14122</v>
      </c>
      <c r="L34" s="124">
        <v>927</v>
      </c>
      <c r="M34" s="126">
        <v>3220449</v>
      </c>
      <c r="N34" s="121">
        <v>943</v>
      </c>
      <c r="O34" s="133">
        <v>26</v>
      </c>
      <c r="P34" s="133">
        <v>6</v>
      </c>
      <c r="Q34" s="134">
        <v>975</v>
      </c>
      <c r="R34" s="14" t="str">
        <f t="shared" si="0"/>
        <v>余市</v>
      </c>
    </row>
    <row r="35" spans="1:18" ht="18.75" customHeight="1">
      <c r="A35" s="13" t="s">
        <v>36</v>
      </c>
      <c r="B35" s="124">
        <f>_xlfn.COMPOUNDVALUE(353)</f>
        <v>1028</v>
      </c>
      <c r="C35" s="125">
        <v>3176849</v>
      </c>
      <c r="D35" s="124">
        <f>_xlfn.COMPOUNDVALUE(354)</f>
        <v>876</v>
      </c>
      <c r="E35" s="125">
        <v>398313</v>
      </c>
      <c r="F35" s="124">
        <f>_xlfn.COMPOUNDVALUE(355)</f>
        <v>1904</v>
      </c>
      <c r="G35" s="125">
        <v>3575161</v>
      </c>
      <c r="H35" s="124">
        <f>_xlfn.COMPOUNDVALUE(356)</f>
        <v>72</v>
      </c>
      <c r="I35" s="126">
        <v>95783</v>
      </c>
      <c r="J35" s="124">
        <v>98</v>
      </c>
      <c r="K35" s="126">
        <v>13568</v>
      </c>
      <c r="L35" s="124">
        <v>1997</v>
      </c>
      <c r="M35" s="126">
        <v>3492947</v>
      </c>
      <c r="N35" s="121">
        <v>2019</v>
      </c>
      <c r="O35" s="133">
        <v>59</v>
      </c>
      <c r="P35" s="133">
        <v>2</v>
      </c>
      <c r="Q35" s="134">
        <v>2080</v>
      </c>
      <c r="R35" s="14" t="str">
        <f t="shared" si="0"/>
        <v>浦河</v>
      </c>
    </row>
    <row r="36" spans="1:18" ht="18.75" customHeight="1" thickBot="1">
      <c r="A36" s="87" t="s">
        <v>37</v>
      </c>
      <c r="B36" s="127">
        <f>_xlfn.COMPOUNDVALUE(357)</f>
        <v>912</v>
      </c>
      <c r="C36" s="128">
        <v>2136309</v>
      </c>
      <c r="D36" s="127">
        <f>_xlfn.COMPOUNDVALUE(358)</f>
        <v>410</v>
      </c>
      <c r="E36" s="128">
        <v>184167</v>
      </c>
      <c r="F36" s="127">
        <f>_xlfn.COMPOUNDVALUE(359)</f>
        <v>1322</v>
      </c>
      <c r="G36" s="128">
        <v>2320476</v>
      </c>
      <c r="H36" s="127">
        <f>_xlfn.COMPOUNDVALUE(360)</f>
        <v>418</v>
      </c>
      <c r="I36" s="129">
        <v>474728</v>
      </c>
      <c r="J36" s="127">
        <v>58</v>
      </c>
      <c r="K36" s="129">
        <v>2628</v>
      </c>
      <c r="L36" s="127">
        <v>1746</v>
      </c>
      <c r="M36" s="129">
        <v>1848376</v>
      </c>
      <c r="N36" s="127">
        <v>1587</v>
      </c>
      <c r="O36" s="135">
        <v>91</v>
      </c>
      <c r="P36" s="135">
        <v>0</v>
      </c>
      <c r="Q36" s="136">
        <v>1678</v>
      </c>
      <c r="R36" s="85" t="str">
        <f t="shared" si="0"/>
        <v>十勝池田</v>
      </c>
    </row>
    <row r="37" spans="1:18" s="15" customFormat="1" ht="18.75" customHeight="1" thickBot="1" thickTop="1">
      <c r="A37" s="16" t="s">
        <v>43</v>
      </c>
      <c r="B37" s="130">
        <v>74568</v>
      </c>
      <c r="C37" s="131">
        <v>392353472</v>
      </c>
      <c r="D37" s="130">
        <v>52851</v>
      </c>
      <c r="E37" s="131">
        <v>26068003</v>
      </c>
      <c r="F37" s="130">
        <v>127419</v>
      </c>
      <c r="G37" s="131">
        <v>418421475</v>
      </c>
      <c r="H37" s="130">
        <v>7407</v>
      </c>
      <c r="I37" s="132">
        <v>25816401</v>
      </c>
      <c r="J37" s="130">
        <v>8022</v>
      </c>
      <c r="K37" s="132">
        <v>1157407</v>
      </c>
      <c r="L37" s="130">
        <v>136782</v>
      </c>
      <c r="M37" s="132">
        <v>393762481</v>
      </c>
      <c r="N37" s="130">
        <v>136691</v>
      </c>
      <c r="O37" s="137">
        <v>4156</v>
      </c>
      <c r="P37" s="137">
        <v>345</v>
      </c>
      <c r="Q37" s="138">
        <v>141192</v>
      </c>
      <c r="R37" s="17" t="str">
        <f t="shared" si="0"/>
        <v>合　　計</v>
      </c>
    </row>
    <row r="38" spans="1:18" s="33" customFormat="1" ht="3" customHeight="1">
      <c r="A38" s="29"/>
      <c r="B38" s="30"/>
      <c r="C38" s="30"/>
      <c r="D38" s="30"/>
      <c r="E38" s="30"/>
      <c r="F38" s="30"/>
      <c r="G38" s="30"/>
      <c r="H38" s="30"/>
      <c r="I38" s="30"/>
      <c r="J38" s="30"/>
      <c r="K38" s="30"/>
      <c r="L38" s="30"/>
      <c r="M38" s="30"/>
      <c r="N38" s="30"/>
      <c r="O38" s="30"/>
      <c r="P38" s="30"/>
      <c r="Q38" s="30"/>
      <c r="R38" s="29"/>
    </row>
    <row r="39" spans="1:17" ht="13.5">
      <c r="A39" s="175" t="s">
        <v>103</v>
      </c>
      <c r="B39" s="175"/>
      <c r="C39" s="175"/>
      <c r="D39" s="175"/>
      <c r="E39" s="175"/>
      <c r="F39" s="175"/>
      <c r="G39" s="175"/>
      <c r="H39" s="175"/>
      <c r="I39" s="175"/>
      <c r="J39" s="175"/>
      <c r="K39" s="175"/>
      <c r="L39" s="175"/>
      <c r="M39" s="175"/>
      <c r="N39" s="175"/>
      <c r="O39" s="175"/>
      <c r="P39" s="175"/>
      <c r="Q39" s="175"/>
    </row>
    <row r="40" spans="1:9" ht="13.5">
      <c r="A40" s="175"/>
      <c r="B40" s="175"/>
      <c r="C40" s="175"/>
      <c r="D40" s="175"/>
      <c r="E40" s="175"/>
      <c r="F40" s="175"/>
      <c r="G40" s="175"/>
      <c r="H40" s="175"/>
      <c r="I40" s="175"/>
    </row>
  </sheetData>
  <sheetProtection/>
  <mergeCells count="17">
    <mergeCell ref="R3:R5"/>
    <mergeCell ref="B4:C4"/>
    <mergeCell ref="D4:E4"/>
    <mergeCell ref="F4:G4"/>
    <mergeCell ref="N4:N5"/>
    <mergeCell ref="O4:O5"/>
    <mergeCell ref="P4:P5"/>
    <mergeCell ref="Q4:Q5"/>
    <mergeCell ref="J3:K4"/>
    <mergeCell ref="L3:M4"/>
    <mergeCell ref="A40:I40"/>
    <mergeCell ref="N3:Q3"/>
    <mergeCell ref="A2:I2"/>
    <mergeCell ref="A3:A5"/>
    <mergeCell ref="B3:G3"/>
    <mergeCell ref="H3:I4"/>
    <mergeCell ref="A39:Q39"/>
  </mergeCells>
  <printOptions horizontalCentered="1"/>
  <pageMargins left="0.7874015748031497" right="0.5511811023622047" top="0.9055118110236221" bottom="0.5905511811023623" header="0.5118110236220472" footer="0.31496062992125984"/>
  <pageSetup fitToHeight="0" horizontalDpi="600" verticalDpi="600" orientation="landscape" paperSize="9" scale="72" r:id="rId1"/>
  <headerFooter alignWithMargins="0">
    <oddFooter>&amp;R札幌国税局　
消費税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越田聖悟</cp:lastModifiedBy>
  <cp:lastPrinted>2018-06-19T00:37:13Z</cp:lastPrinted>
  <dcterms:created xsi:type="dcterms:W3CDTF">2011-12-09T10:59:54Z</dcterms:created>
  <dcterms:modified xsi:type="dcterms:W3CDTF">2018-06-19T00:37:27Z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