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50" tabRatio="798" activeTab="0"/>
  </bookViews>
  <sheets>
    <sheet name="7 (1)課税状況" sheetId="1" r:id="rId1"/>
    <sheet name="7 (2)課税状況の累年比較" sheetId="2" r:id="rId2"/>
    <sheet name="7 (3)課税事業者等届出件数" sheetId="3" r:id="rId3"/>
    <sheet name="7 (4)-1税務署別(個人事業者）" sheetId="4" r:id="rId4"/>
    <sheet name="7 (4)-2税務署別（法人）" sheetId="5" r:id="rId5"/>
    <sheet name="7 (4)-3税務署別（合計）" sheetId="6" r:id="rId6"/>
  </sheets>
  <definedNames>
    <definedName name="_xlfn.COMPOUNDVALUE" hidden="1">#NAME?</definedName>
    <definedName name="_xlnm.Print_Area" localSheetId="1">'7 (2)課税状況の累年比較'!$A$1:$H$14</definedName>
    <definedName name="_xlnm.Print_Area" localSheetId="2">'7 (3)課税事業者等届出件数'!$A$1:$E$7</definedName>
    <definedName name="_xlnm.Print_Area" localSheetId="3">'7 (4)-1税務署別(個人事業者）'!$A$1:$N$39</definedName>
    <definedName name="_xlnm.Print_Area" localSheetId="4">'7 (4)-2税務署別（法人）'!$A$1:$N$39</definedName>
    <definedName name="_xlnm.Print_Area" localSheetId="5">'7 (4)-3税務署別（合計）'!$A$1:$R$39</definedName>
    <definedName name="_xlnm.Print_Titles" localSheetId="3">'7 (4)-1税務署別(個人事業者）'!$3:$6</definedName>
    <definedName name="_xlnm.Print_Titles" localSheetId="4">'7 (4)-2税務署別（法人）'!$3:$6</definedName>
    <definedName name="_xlnm.Print_Titles" localSheetId="5">'7 (4)-3税務署別（合計）'!$3:$6</definedName>
  </definedNames>
  <calcPr fullCalcOnLoad="1"/>
</workbook>
</file>

<file path=xl/sharedStrings.xml><?xml version="1.0" encoding="utf-8"?>
<sst xmlns="http://schemas.openxmlformats.org/spreadsheetml/2006/main" count="353" uniqueCount="114">
  <si>
    <t>　イ　個人事業者</t>
  </si>
  <si>
    <t>還付申告及び処理</t>
  </si>
  <si>
    <t>既往年分の
申告及び処理</t>
  </si>
  <si>
    <t>合　　　　　　計</t>
  </si>
  <si>
    <t>税務署名</t>
  </si>
  <si>
    <t>簡易申告及び処理</t>
  </si>
  <si>
    <t>小　　　　　　計</t>
  </si>
  <si>
    <t>件</t>
  </si>
  <si>
    <t>千円</t>
  </si>
  <si>
    <t>札幌中</t>
  </si>
  <si>
    <t>札幌北</t>
  </si>
  <si>
    <t>札幌南</t>
  </si>
  <si>
    <t>札幌西</t>
  </si>
  <si>
    <t>札幌東</t>
  </si>
  <si>
    <t>小樽</t>
  </si>
  <si>
    <t>旭川中</t>
  </si>
  <si>
    <t>旭川東</t>
  </si>
  <si>
    <t>室蘭</t>
  </si>
  <si>
    <t>釧路</t>
  </si>
  <si>
    <t>帯広</t>
  </si>
  <si>
    <t>北見</t>
  </si>
  <si>
    <t>岩見沢</t>
  </si>
  <si>
    <t>網走</t>
  </si>
  <si>
    <t>留萌</t>
  </si>
  <si>
    <t>苫小牧</t>
  </si>
  <si>
    <t>稚内</t>
  </si>
  <si>
    <t>紋別</t>
  </si>
  <si>
    <t>名寄</t>
  </si>
  <si>
    <t>根室</t>
  </si>
  <si>
    <t>滝川</t>
  </si>
  <si>
    <t>深川</t>
  </si>
  <si>
    <t>富良野</t>
  </si>
  <si>
    <t>八雲</t>
  </si>
  <si>
    <t>江差</t>
  </si>
  <si>
    <t>倶知安</t>
  </si>
  <si>
    <t>余市</t>
  </si>
  <si>
    <t>浦河</t>
  </si>
  <si>
    <t>十勝池田</t>
  </si>
  <si>
    <t>(4)　税務署別課税状況（続）</t>
  </si>
  <si>
    <t>　ロ　法　　　人</t>
  </si>
  <si>
    <t>税務署名</t>
  </si>
  <si>
    <t>　ハ　個人事業者と法人の合計</t>
  </si>
  <si>
    <t>課税事業者
届出</t>
  </si>
  <si>
    <t>合　　　計</t>
  </si>
  <si>
    <t>合　　計</t>
  </si>
  <si>
    <t>加算税</t>
  </si>
  <si>
    <t>実</t>
  </si>
  <si>
    <t>差引計</t>
  </si>
  <si>
    <t>申告及び処理による
減差税額のあるもの</t>
  </si>
  <si>
    <t>申告及び処理による
増差税額のあるもの</t>
  </si>
  <si>
    <t>既往年分</t>
  </si>
  <si>
    <t>還付申告及び処理</t>
  </si>
  <si>
    <t>納税申告計</t>
  </si>
  <si>
    <t>簡易申告及び処理</t>
  </si>
  <si>
    <t>一般申告及び処理</t>
  </si>
  <si>
    <t>現年分</t>
  </si>
  <si>
    <t>千円</t>
  </si>
  <si>
    <t>件</t>
  </si>
  <si>
    <t>税　　　額</t>
  </si>
  <si>
    <t>件　　　数</t>
  </si>
  <si>
    <t>合　　　　　計</t>
  </si>
  <si>
    <t>法　　　　　人</t>
  </si>
  <si>
    <t>個　人　事　業　者</t>
  </si>
  <si>
    <t>区　　　分</t>
  </si>
  <si>
    <t>(1)　課税状況</t>
  </si>
  <si>
    <t>７　消　費　税</t>
  </si>
  <si>
    <t>納税申告計</t>
  </si>
  <si>
    <t>税　　額</t>
  </si>
  <si>
    <t>件　　数</t>
  </si>
  <si>
    <t>合　　　　　　　計</t>
  </si>
  <si>
    <t>法　　　　　　　人</t>
  </si>
  <si>
    <t>(2)　課税状況の累年比較</t>
  </si>
  <si>
    <t>(3)　課税事業者等届出件数</t>
  </si>
  <si>
    <t>課税事業者届出書</t>
  </si>
  <si>
    <t>課税事業者選択届出書</t>
  </si>
  <si>
    <t>新設法人に該当する旨の届出書</t>
  </si>
  <si>
    <t>平成23年度</t>
  </si>
  <si>
    <t>税務署名</t>
  </si>
  <si>
    <t>一般申告及び処理</t>
  </si>
  <si>
    <t>件数</t>
  </si>
  <si>
    <t>税額</t>
  </si>
  <si>
    <t>税　額　①</t>
  </si>
  <si>
    <t>納　　　税　　　申　　　告　　　及　　　び　　　処　　　理</t>
  </si>
  <si>
    <t>税　額　②</t>
  </si>
  <si>
    <t>税　額　③</t>
  </si>
  <si>
    <t>税　　　額
(①－②＋③)</t>
  </si>
  <si>
    <t>函館</t>
  </si>
  <si>
    <t>札幌中</t>
  </si>
  <si>
    <t>税　　額
(①－②＋③)</t>
  </si>
  <si>
    <t>課　税　事　業　者　等　届　出　件　数</t>
  </si>
  <si>
    <t>課税事業者
選択届出</t>
  </si>
  <si>
    <t>新設法人に
該当する旨
の届出</t>
  </si>
  <si>
    <t xml:space="preserve">     （注） 納税義務者でなくなった旨の届出書又は課税事業者選択不適用届出書を提出した者は含まない。</t>
  </si>
  <si>
    <t>合               計</t>
  </si>
  <si>
    <t>平成25年度</t>
  </si>
  <si>
    <t>調査対象等：</t>
  </si>
  <si>
    <t>　　（注）　</t>
  </si>
  <si>
    <t>　１　税関分は含まない。</t>
  </si>
  <si>
    <t>　　　　　　</t>
  </si>
  <si>
    <t>　２　「件数欄」の「実」は、実件数を示す。</t>
  </si>
  <si>
    <t>(4)　税務署別課税状況</t>
  </si>
  <si>
    <t>件数</t>
  </si>
  <si>
    <t>税額</t>
  </si>
  <si>
    <t>(4)　税務署別課税状況（続）</t>
  </si>
  <si>
    <t>函館</t>
  </si>
  <si>
    <t>平成24年度</t>
  </si>
  <si>
    <t>平成26年度</t>
  </si>
  <si>
    <t xml:space="preserve">  「現年分」は、平成27年４月１日から平成28年３月31日までに終了した課税期間について、平成28
年６月30日現在の申告（国・地方公共団体等については平成28年９月30日までの申告を含む。）及び
処理（更正、決定等）による課税事績を「申告書及び決議書」に基づいて作成した。</t>
  </si>
  <si>
    <t xml:space="preserve">  「既往年分」は、平成27年３月31日以前に終了した課税期間について、平成27年７月１日から平成
28年６月30日までの間の申告（平成27年７月１日から同年９月30日までの間の国・地方公共団体等に
係る申告を除く。）及び処理（更正、決定等）による課税事績を「申告書及び決議書」に基づいて作
成した。</t>
  </si>
  <si>
    <t>平成27年度</t>
  </si>
  <si>
    <t>調査対象等：平成27年度末（平成28年３月31日現在）の届出件数を示している。</t>
  </si>
  <si>
    <t>（注）この表は「(1)　課税状況」の現年分及び既往年分を税務署別に示したものである（加算税を除く。）。</t>
  </si>
  <si>
    <t>（注）この表は「(1)　課税状況」の現年分及び既往年分並びに「(3)　課税事業者等届出件数」を税務署別に示したものである（加算税を除く。）。</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</si>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</sst>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3">
    <font>
      <sz val="11"/>
      <color theme="1"/>
      <name val="Calibri"/>
      <family val="3"/>
    </font>
    <font>
      <sz val="11"/>
      <color indexed="8"/>
      <name val="ＭＳ Ｐゴシック"/>
      <family val="3"/>
    </font>
    <font>
      <sz val="11"/>
      <name val="ＭＳ Ｐゴシック"/>
      <family val="3"/>
    </font>
    <font>
      <sz val="9"/>
      <name val="ＭＳ 明朝"/>
      <family val="1"/>
    </font>
    <font>
      <sz val="6"/>
      <name val="ＭＳ Ｐゴシック"/>
      <family val="3"/>
    </font>
    <font>
      <sz val="8"/>
      <name val="ＭＳ 明朝"/>
      <family val="1"/>
    </font>
    <font>
      <sz val="8"/>
      <name val="ＭＳ Ｐゴシック"/>
      <family val="3"/>
    </font>
    <font>
      <u val="single"/>
      <sz val="16.5"/>
      <color indexed="12"/>
      <name val="ＭＳ Ｐゴシック"/>
      <family val="3"/>
    </font>
    <font>
      <sz val="9"/>
      <name val="ＭＳ ゴシック"/>
      <family val="3"/>
    </font>
    <font>
      <sz val="11"/>
      <name val="ＭＳ ゴシック"/>
      <family val="3"/>
    </font>
    <font>
      <sz val="13"/>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6"/>
        <bgColor indexed="64"/>
      </patternFill>
    </fill>
    <fill>
      <patternFill patternType="solid">
        <fgColor indexed="43"/>
        <bgColor indexed="64"/>
      </patternFill>
    </fill>
    <fill>
      <patternFill patternType="solid">
        <fgColor indexed="27"/>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border>
    <border>
      <left style="thin"/>
      <right style="hair"/>
      <top style="thin"/>
      <bottom/>
    </border>
    <border>
      <left style="hair"/>
      <right style="thin"/>
      <top style="thin"/>
      <bottom/>
    </border>
    <border>
      <left style="hair"/>
      <right/>
      <top style="thin"/>
      <bottom/>
    </border>
    <border>
      <left style="thin"/>
      <right style="medium"/>
      <top style="thin"/>
      <bottom/>
    </border>
    <border>
      <left style="medium"/>
      <right/>
      <top/>
      <bottom style="hair">
        <color indexed="55"/>
      </bottom>
    </border>
    <border>
      <left style="thin"/>
      <right style="medium"/>
      <top/>
      <bottom style="hair">
        <color indexed="55"/>
      </bottom>
    </border>
    <border>
      <left style="medium"/>
      <right/>
      <top style="hair">
        <color indexed="55"/>
      </top>
      <bottom style="hair">
        <color indexed="55"/>
      </bottom>
    </border>
    <border>
      <left style="thin"/>
      <right style="medium"/>
      <top style="hair">
        <color indexed="55"/>
      </top>
      <bottom style="hair">
        <color indexed="55"/>
      </bottom>
    </border>
    <border>
      <left style="medium"/>
      <right/>
      <top/>
      <bottom style="medium"/>
    </border>
    <border>
      <left style="thin"/>
      <right style="medium"/>
      <top/>
      <bottom style="medium"/>
    </border>
    <border>
      <left style="hair"/>
      <right style="thin"/>
      <top style="hair"/>
      <bottom style="thin"/>
    </border>
    <border>
      <left style="hair"/>
      <right style="hair"/>
      <top style="thin"/>
      <bottom/>
    </border>
    <border>
      <left style="thin"/>
      <right style="hair"/>
      <top style="hair"/>
      <bottom style="thin"/>
    </border>
    <border>
      <left style="hair"/>
      <right/>
      <top style="hair"/>
      <bottom style="thin"/>
    </border>
    <border>
      <left/>
      <right/>
      <top style="medium"/>
      <bottom/>
    </border>
    <border>
      <left style="thin"/>
      <right style="hair"/>
      <top/>
      <bottom style="medium"/>
    </border>
    <border>
      <left style="thin"/>
      <right style="hair"/>
      <top style="thin"/>
      <bottom style="thin"/>
    </border>
    <border>
      <left style="thin"/>
      <right style="hair"/>
      <top/>
      <bottom/>
    </border>
    <border>
      <left style="hair"/>
      <right style="thin"/>
      <top style="hair">
        <color indexed="55"/>
      </top>
      <bottom style="hair">
        <color indexed="55"/>
      </bottom>
    </border>
    <border>
      <left style="hair"/>
      <right style="medium"/>
      <top style="thin"/>
      <bottom style="hair">
        <color indexed="55"/>
      </bottom>
    </border>
    <border>
      <left style="hair"/>
      <right style="thin"/>
      <top style="thin"/>
      <bottom style="hair">
        <color indexed="55"/>
      </bottom>
    </border>
    <border>
      <left style="hair"/>
      <right style="thin"/>
      <top style="hair">
        <color indexed="55"/>
      </top>
      <bottom style="thin"/>
    </border>
    <border>
      <left style="hair"/>
      <right style="medium"/>
      <top/>
      <bottom style="hair">
        <color indexed="55"/>
      </bottom>
    </border>
    <border>
      <left style="hair"/>
      <right style="thin"/>
      <top/>
      <bottom style="hair">
        <color indexed="55"/>
      </bottom>
    </border>
    <border>
      <left style="hair"/>
      <right style="medium"/>
      <top style="thin"/>
      <bottom/>
    </border>
    <border>
      <left style="hair"/>
      <right style="thin"/>
      <top style="hair">
        <color indexed="55"/>
      </top>
      <bottom style="medium"/>
    </border>
    <border>
      <left style="thin"/>
      <right style="hair"/>
      <top style="thin"/>
      <bottom style="hair">
        <color indexed="55"/>
      </bottom>
    </border>
    <border>
      <left style="hair"/>
      <right style="medium"/>
      <top style="hair">
        <color indexed="55"/>
      </top>
      <bottom style="thin"/>
    </border>
    <border>
      <left style="thin"/>
      <right style="hair"/>
      <top style="hair">
        <color indexed="55"/>
      </top>
      <bottom style="thin"/>
    </border>
    <border>
      <left style="thin"/>
      <right style="hair"/>
      <top/>
      <bottom style="hair">
        <color indexed="55"/>
      </bottom>
    </border>
    <border>
      <left/>
      <right style="medium"/>
      <top style="thin"/>
      <bottom/>
    </border>
    <border>
      <left/>
      <right style="thin"/>
      <top style="thin"/>
      <bottom/>
    </border>
    <border>
      <left style="medium"/>
      <right style="thin"/>
      <top style="medium"/>
      <bottom/>
    </border>
    <border>
      <left style="thin"/>
      <right style="thin"/>
      <top style="medium"/>
      <bottom/>
    </border>
    <border>
      <left style="thin"/>
      <right/>
      <top style="medium"/>
      <bottom/>
    </border>
    <border>
      <left style="thin"/>
      <right style="medium"/>
      <top style="medium"/>
      <bottom/>
    </border>
    <border>
      <left style="medium"/>
      <right style="thin"/>
      <top style="thin"/>
      <bottom/>
    </border>
    <border>
      <left style="thin"/>
      <right style="thin"/>
      <top style="thin"/>
      <bottom/>
    </border>
    <border>
      <left style="thin"/>
      <right/>
      <top style="thin"/>
      <bottom/>
    </border>
    <border>
      <left style="thin"/>
      <right style="medium"/>
      <top style="hair">
        <color indexed="55"/>
      </top>
      <bottom style="double"/>
    </border>
    <border>
      <left style="medium"/>
      <right/>
      <top style="hair">
        <color indexed="55"/>
      </top>
      <bottom style="double"/>
    </border>
    <border>
      <left style="hair"/>
      <right style="hair"/>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border>
    <border>
      <left style="hair"/>
      <right style="thin"/>
      <top style="hair">
        <color indexed="55"/>
      </top>
      <bottom/>
    </border>
    <border>
      <left style="hair"/>
      <right style="medium"/>
      <top style="hair">
        <color indexed="55"/>
      </top>
      <bottom/>
    </border>
    <border>
      <left style="hair"/>
      <right style="hair"/>
      <top style="thin"/>
      <bottom style="hair">
        <color indexed="55"/>
      </bottom>
    </border>
    <border>
      <left style="hair"/>
      <right style="hair"/>
      <top style="thin"/>
      <bottom style="thin"/>
    </border>
    <border>
      <left style="hair"/>
      <right style="thin"/>
      <top style="thin"/>
      <bottom style="thin"/>
    </border>
    <border>
      <left style="hair"/>
      <right style="medium"/>
      <top style="thin"/>
      <bottom style="thin"/>
    </border>
    <border>
      <left style="hair"/>
      <right style="hair"/>
      <top/>
      <bottom style="medium"/>
    </border>
    <border>
      <left style="hair"/>
      <right style="thin"/>
      <top/>
      <bottom style="medium"/>
    </border>
    <border>
      <left style="hair"/>
      <right style="medium"/>
      <top/>
      <bottom style="medium"/>
    </border>
    <border>
      <left style="thin"/>
      <right style="hair"/>
      <top style="hair">
        <color indexed="55"/>
      </top>
      <bottom style="medium"/>
    </border>
    <border>
      <left style="hair"/>
      <right style="medium"/>
      <top style="hair">
        <color indexed="55"/>
      </top>
      <bottom style="medium"/>
    </border>
    <border>
      <left style="medium"/>
      <right style="thin"/>
      <top/>
      <bottom style="medium"/>
    </border>
    <border>
      <left style="thin"/>
      <right style="thin"/>
      <top/>
      <bottom style="medium"/>
    </border>
    <border>
      <left style="thin"/>
      <right/>
      <top/>
      <bottom style="medium"/>
    </border>
    <border>
      <left style="hair"/>
      <right/>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hair"/>
      <top style="hair">
        <color indexed="55"/>
      </top>
      <bottom style="double"/>
    </border>
    <border>
      <left style="hair"/>
      <right style="thin"/>
      <top style="hair">
        <color indexed="55"/>
      </top>
      <bottom style="double"/>
    </border>
    <border>
      <left style="hair"/>
      <right/>
      <top style="hair">
        <color indexed="55"/>
      </top>
      <bottom style="double"/>
    </border>
    <border>
      <left style="hair"/>
      <right/>
      <top/>
      <bottom style="medium"/>
    </border>
    <border>
      <left style="hair"/>
      <right style="hair"/>
      <top style="hair">
        <color indexed="55"/>
      </top>
      <bottom style="double"/>
    </border>
    <border>
      <left style="medium"/>
      <right style="hair"/>
      <top/>
      <bottom/>
    </border>
    <border>
      <left style="medium"/>
      <right style="hair"/>
      <top/>
      <bottom style="thin"/>
    </border>
    <border>
      <left style="medium"/>
      <right style="hair"/>
      <top style="thin"/>
      <bottom style="hair"/>
    </border>
    <border>
      <left style="medium"/>
      <right style="hair"/>
      <top style="hair"/>
      <bottom style="hair"/>
    </border>
    <border>
      <left style="medium"/>
      <right/>
      <top style="thin"/>
      <bottom style="thin"/>
    </border>
    <border>
      <left/>
      <right style="thin"/>
      <top style="thin"/>
      <bottom style="thin"/>
    </border>
    <border>
      <left/>
      <right style="thin"/>
      <top/>
      <bottom style="medium"/>
    </border>
    <border>
      <left style="medium"/>
      <right/>
      <top style="medium"/>
      <bottom/>
    </border>
    <border>
      <left/>
      <right style="thin"/>
      <top style="medium"/>
      <bottom/>
    </border>
    <border>
      <left style="medium"/>
      <right/>
      <top/>
      <bottom/>
    </border>
    <border>
      <left/>
      <right style="thin"/>
      <top/>
      <botto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medium"/>
      <right style="hair"/>
      <top style="hair"/>
      <bottom style="medium"/>
    </border>
    <border>
      <left style="thin"/>
      <right style="thin"/>
      <top style="medium"/>
      <bottom style="thin"/>
    </border>
    <border>
      <left/>
      <right style="medium"/>
      <top style="medium"/>
      <bottom/>
    </border>
    <border>
      <left style="medium"/>
      <right style="hair"/>
      <top/>
      <bottom style="hair"/>
    </border>
    <border>
      <left style="medium"/>
      <right style="hair"/>
      <top style="hair"/>
      <bottom style="thin"/>
    </border>
    <border>
      <left style="medium"/>
      <right style="hair"/>
      <top style="thin"/>
      <bottom/>
    </border>
    <border>
      <left style="medium"/>
      <right/>
      <top/>
      <bottom style="thin"/>
    </border>
    <border>
      <left style="thin"/>
      <right style="thin"/>
      <top style="medium"/>
      <bottom style="hair"/>
    </border>
    <border>
      <left style="thin"/>
      <right style="hair"/>
      <top style="medium"/>
      <bottom style="hair"/>
    </border>
    <border>
      <left style="hair"/>
      <right/>
      <top style="medium"/>
      <bottom style="hair"/>
    </border>
    <border>
      <left style="thin"/>
      <right style="hair"/>
      <top style="hair"/>
      <bottom style="hair"/>
    </border>
    <border>
      <left style="hair"/>
      <right/>
      <top style="hair"/>
      <bottom style="hair"/>
    </border>
    <border>
      <left style="thin"/>
      <right style="medium"/>
      <top/>
      <bottom/>
    </border>
    <border>
      <left style="thin"/>
      <right style="medium"/>
      <top/>
      <bottom style="thin"/>
    </border>
    <border>
      <left style="thin"/>
      <right style="thin"/>
      <top style="hair"/>
      <bottom style="hair"/>
    </border>
    <border>
      <left style="thin"/>
      <right>
        <color indexed="63"/>
      </right>
      <top style="hair"/>
      <bottom style="hair"/>
    </border>
    <border>
      <left>
        <color indexed="63"/>
      </left>
      <right style="thin"/>
      <top style="hair"/>
      <bottom style="hair"/>
    </border>
    <border>
      <left style="hair"/>
      <right style="thin"/>
      <top style="hair"/>
      <bottom style="hair"/>
    </border>
    <border>
      <left/>
      <right/>
      <top/>
      <bottom style="medium"/>
    </border>
    <border>
      <left style="thin"/>
      <right/>
      <top style="medium"/>
      <bottom style="hair"/>
    </border>
    <border>
      <left/>
      <right/>
      <top style="medium"/>
      <bottom style="hair"/>
    </border>
    <border>
      <left>
        <color indexed="63"/>
      </left>
      <right style="thin"/>
      <top style="medium"/>
      <bottom style="hair"/>
    </border>
    <border>
      <left style="thin"/>
      <right style="hair"/>
      <top style="hair"/>
      <bottom/>
    </border>
    <border>
      <left style="thin"/>
      <right style="hair"/>
      <top/>
      <bottom style="thin"/>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lignment/>
      <protection/>
    </xf>
    <xf numFmtId="0" fontId="42" fillId="32" borderId="0" applyNumberFormat="0" applyBorder="0" applyAlignment="0" applyProtection="0"/>
  </cellStyleXfs>
  <cellXfs count="206">
    <xf numFmtId="0" fontId="0" fillId="0" borderId="0" xfId="0" applyFont="1" applyAlignment="1">
      <alignment vertical="center"/>
    </xf>
    <xf numFmtId="0" fontId="3" fillId="0" borderId="0" xfId="60" applyFont="1" applyAlignment="1">
      <alignment horizontal="left" vertical="center"/>
      <protection/>
    </xf>
    <xf numFmtId="0" fontId="3" fillId="0" borderId="0" xfId="60" applyFont="1" applyAlignment="1">
      <alignment horizontal="left" vertical="top"/>
      <protection/>
    </xf>
    <xf numFmtId="0" fontId="2" fillId="0" borderId="0" xfId="60" applyFont="1">
      <alignment/>
      <protection/>
    </xf>
    <xf numFmtId="0" fontId="2" fillId="0" borderId="0" xfId="60" applyFont="1" applyAlignment="1">
      <alignment horizontal="center"/>
      <protection/>
    </xf>
    <xf numFmtId="0" fontId="5" fillId="33" borderId="10" xfId="60" applyFont="1" applyFill="1" applyBorder="1" applyAlignment="1">
      <alignment horizontal="distributed" vertical="top"/>
      <protection/>
    </xf>
    <xf numFmtId="0" fontId="5" fillId="34" borderId="11" xfId="60" applyFont="1" applyFill="1" applyBorder="1" applyAlignment="1">
      <alignment horizontal="right" vertical="top"/>
      <protection/>
    </xf>
    <xf numFmtId="0" fontId="5" fillId="35" borderId="12" xfId="60" applyFont="1" applyFill="1" applyBorder="1" applyAlignment="1">
      <alignment horizontal="right" vertical="top"/>
      <protection/>
    </xf>
    <xf numFmtId="0" fontId="5" fillId="35" borderId="13" xfId="60" applyFont="1" applyFill="1" applyBorder="1" applyAlignment="1">
      <alignment horizontal="right" vertical="top"/>
      <protection/>
    </xf>
    <xf numFmtId="0" fontId="5" fillId="33" borderId="14" xfId="60" applyFont="1" applyFill="1" applyBorder="1" applyAlignment="1">
      <alignment horizontal="distributed" vertical="top"/>
      <protection/>
    </xf>
    <xf numFmtId="0" fontId="6" fillId="0" borderId="0" xfId="60" applyFont="1" applyAlignment="1">
      <alignment horizontal="right" vertical="top"/>
      <protection/>
    </xf>
    <xf numFmtId="0" fontId="3" fillId="36" borderId="15" xfId="60" applyFont="1" applyFill="1" applyBorder="1" applyAlignment="1">
      <alignment horizontal="distributed" vertical="center"/>
      <protection/>
    </xf>
    <xf numFmtId="0" fontId="3" fillId="36" borderId="16" xfId="60" applyFont="1" applyFill="1" applyBorder="1" applyAlignment="1">
      <alignment horizontal="distributed" vertical="center"/>
      <protection/>
    </xf>
    <xf numFmtId="0" fontId="3" fillId="36" borderId="17" xfId="60" applyFont="1" applyFill="1" applyBorder="1" applyAlignment="1">
      <alignment horizontal="distributed" vertical="center"/>
      <protection/>
    </xf>
    <xf numFmtId="0" fontId="3" fillId="36" borderId="18" xfId="60" applyFont="1" applyFill="1" applyBorder="1" applyAlignment="1">
      <alignment horizontal="distributed" vertical="center"/>
      <protection/>
    </xf>
    <xf numFmtId="0" fontId="9" fillId="0" borderId="0" xfId="60" applyFont="1">
      <alignment/>
      <protection/>
    </xf>
    <xf numFmtId="0" fontId="8" fillId="0" borderId="19" xfId="60" applyFont="1" applyBorder="1" applyAlignment="1">
      <alignment horizontal="center" vertical="center"/>
      <protection/>
    </xf>
    <xf numFmtId="0" fontId="8" fillId="0" borderId="20" xfId="60" applyFont="1" applyBorder="1" applyAlignment="1">
      <alignment horizontal="center" vertical="center"/>
      <protection/>
    </xf>
    <xf numFmtId="0" fontId="3" fillId="0" borderId="0" xfId="60" applyFont="1" applyBorder="1" applyAlignment="1">
      <alignment horizontal="left" vertical="center"/>
      <protection/>
    </xf>
    <xf numFmtId="0" fontId="2" fillId="0" borderId="0" xfId="60" applyFont="1" applyBorder="1">
      <alignment/>
      <protection/>
    </xf>
    <xf numFmtId="0" fontId="6" fillId="0" borderId="0" xfId="60" applyFont="1" applyAlignment="1">
      <alignment vertical="top"/>
      <protection/>
    </xf>
    <xf numFmtId="0" fontId="2" fillId="0" borderId="0" xfId="60" applyFont="1" applyFill="1">
      <alignment/>
      <protection/>
    </xf>
    <xf numFmtId="0" fontId="3" fillId="0" borderId="21" xfId="60" applyFont="1" applyBorder="1" applyAlignment="1">
      <alignment horizontal="center" vertical="center" wrapText="1"/>
      <protection/>
    </xf>
    <xf numFmtId="0" fontId="5" fillId="34" borderId="22" xfId="60" applyFont="1" applyFill="1" applyBorder="1" applyAlignment="1">
      <alignment horizontal="right" vertical="top"/>
      <protection/>
    </xf>
    <xf numFmtId="0" fontId="5" fillId="34" borderId="13" xfId="60" applyFont="1" applyFill="1" applyBorder="1" applyAlignment="1">
      <alignment horizontal="right" vertical="top"/>
      <protection/>
    </xf>
    <xf numFmtId="0" fontId="3" fillId="0" borderId="23" xfId="60" applyFont="1" applyBorder="1" applyAlignment="1">
      <alignment horizontal="distributed" vertical="center" indent="1"/>
      <protection/>
    </xf>
    <xf numFmtId="0" fontId="3" fillId="0" borderId="21" xfId="60" applyFont="1" applyBorder="1" applyAlignment="1">
      <alignment horizontal="distributed" vertical="center" indent="1"/>
      <protection/>
    </xf>
    <xf numFmtId="0" fontId="3" fillId="0" borderId="24" xfId="60" applyFont="1" applyBorder="1" applyAlignment="1">
      <alignment horizontal="distributed" vertical="center" indent="1"/>
      <protection/>
    </xf>
    <xf numFmtId="0" fontId="3" fillId="0" borderId="24" xfId="60" applyFont="1" applyBorder="1" applyAlignment="1">
      <alignment horizontal="centerContinuous" vertical="center" wrapText="1"/>
      <protection/>
    </xf>
    <xf numFmtId="0" fontId="8" fillId="0" borderId="0" xfId="60" applyFont="1" applyFill="1" applyBorder="1" applyAlignment="1">
      <alignment horizontal="center" vertical="center"/>
      <protection/>
    </xf>
    <xf numFmtId="176" fontId="8" fillId="0" borderId="0" xfId="60" applyNumberFormat="1" applyFont="1" applyFill="1" applyBorder="1" applyAlignment="1">
      <alignment horizontal="right" vertical="center"/>
      <protection/>
    </xf>
    <xf numFmtId="0" fontId="8" fillId="0" borderId="25" xfId="60" applyFont="1" applyFill="1" applyBorder="1" applyAlignment="1">
      <alignment horizontal="center" vertical="center"/>
      <protection/>
    </xf>
    <xf numFmtId="176" fontId="8" fillId="0" borderId="25" xfId="60" applyNumberFormat="1" applyFont="1" applyFill="1" applyBorder="1" applyAlignment="1">
      <alignment horizontal="right" vertical="center"/>
      <protection/>
    </xf>
    <xf numFmtId="0" fontId="9" fillId="0" borderId="0" xfId="60" applyFont="1" applyFill="1" applyBorder="1">
      <alignment/>
      <protection/>
    </xf>
    <xf numFmtId="3" fontId="3" fillId="0" borderId="26" xfId="60" applyNumberFormat="1" applyFont="1" applyBorder="1" applyAlignment="1">
      <alignment horizontal="right" vertical="center"/>
      <protection/>
    </xf>
    <xf numFmtId="0" fontId="3" fillId="0" borderId="26" xfId="60" applyFont="1" applyBorder="1" applyAlignment="1">
      <alignment horizontal="right" vertical="center"/>
      <protection/>
    </xf>
    <xf numFmtId="0" fontId="8" fillId="0" borderId="0" xfId="60" applyFont="1" applyAlignment="1">
      <alignment horizontal="left" vertical="top"/>
      <protection/>
    </xf>
    <xf numFmtId="0" fontId="8" fillId="0" borderId="27" xfId="60" applyFont="1" applyBorder="1" applyAlignment="1">
      <alignment horizontal="right" vertical="center"/>
      <protection/>
    </xf>
    <xf numFmtId="3" fontId="3" fillId="0" borderId="28" xfId="60" applyNumberFormat="1" applyFont="1" applyBorder="1" applyAlignment="1">
      <alignment horizontal="center" vertical="center"/>
      <protection/>
    </xf>
    <xf numFmtId="0" fontId="3" fillId="0" borderId="28" xfId="60" applyFont="1" applyBorder="1" applyAlignment="1">
      <alignment horizontal="center" vertical="center"/>
      <protection/>
    </xf>
    <xf numFmtId="0" fontId="3" fillId="0" borderId="29" xfId="60" applyFont="1" applyBorder="1" applyAlignment="1">
      <alignment horizontal="distributed" vertical="center" wrapText="1"/>
      <protection/>
    </xf>
    <xf numFmtId="3" fontId="3" fillId="35" borderId="30" xfId="60" applyNumberFormat="1" applyFont="1" applyFill="1" applyBorder="1" applyAlignment="1">
      <alignment horizontal="right" vertical="center"/>
      <protection/>
    </xf>
    <xf numFmtId="3" fontId="3" fillId="0" borderId="11" xfId="60" applyNumberFormat="1" applyFont="1" applyBorder="1" applyAlignment="1">
      <alignment horizontal="center" vertical="center"/>
      <protection/>
    </xf>
    <xf numFmtId="3" fontId="3" fillId="35" borderId="31" xfId="60" applyNumberFormat="1" applyFont="1" applyFill="1" applyBorder="1" applyAlignment="1">
      <alignment horizontal="right" vertical="center"/>
      <protection/>
    </xf>
    <xf numFmtId="0" fontId="3" fillId="0" borderId="31" xfId="60" applyFont="1" applyBorder="1" applyAlignment="1">
      <alignment horizontal="distributed" vertical="center" wrapText="1"/>
      <protection/>
    </xf>
    <xf numFmtId="0" fontId="3" fillId="0" borderId="28" xfId="60" applyFont="1" applyBorder="1" applyAlignment="1">
      <alignment horizontal="right" vertical="center"/>
      <protection/>
    </xf>
    <xf numFmtId="0" fontId="3" fillId="0" borderId="32" xfId="60" applyFont="1" applyBorder="1" applyAlignment="1">
      <alignment horizontal="distributed" vertical="center"/>
      <protection/>
    </xf>
    <xf numFmtId="0" fontId="8" fillId="0" borderId="28" xfId="60" applyFont="1" applyBorder="1" applyAlignment="1">
      <alignment horizontal="right" vertical="center"/>
      <protection/>
    </xf>
    <xf numFmtId="0" fontId="8" fillId="0" borderId="29" xfId="60" applyFont="1" applyBorder="1" applyAlignment="1">
      <alignment horizontal="distributed" vertical="center"/>
      <protection/>
    </xf>
    <xf numFmtId="3" fontId="3" fillId="0" borderId="28" xfId="60" applyNumberFormat="1" applyFont="1" applyBorder="1" applyAlignment="1">
      <alignment horizontal="right" vertical="center"/>
      <protection/>
    </xf>
    <xf numFmtId="0" fontId="3" fillId="0" borderId="29" xfId="60" applyFont="1" applyBorder="1" applyAlignment="1">
      <alignment horizontal="distributed" vertical="center"/>
      <protection/>
    </xf>
    <xf numFmtId="3" fontId="3" fillId="35" borderId="33" xfId="60" applyNumberFormat="1" applyFont="1" applyFill="1" applyBorder="1" applyAlignment="1">
      <alignment horizontal="right" vertical="center"/>
      <protection/>
    </xf>
    <xf numFmtId="3" fontId="3" fillId="35" borderId="34" xfId="60" applyNumberFormat="1" applyFont="1" applyFill="1" applyBorder="1" applyAlignment="1">
      <alignment horizontal="right" vertical="center"/>
      <protection/>
    </xf>
    <xf numFmtId="0" fontId="3" fillId="0" borderId="34" xfId="60" applyFont="1" applyBorder="1" applyAlignment="1">
      <alignment horizontal="distributed" vertical="center"/>
      <protection/>
    </xf>
    <xf numFmtId="0" fontId="5" fillId="35" borderId="35" xfId="60" applyFont="1" applyFill="1" applyBorder="1" applyAlignment="1">
      <alignment horizontal="right" vertical="top"/>
      <protection/>
    </xf>
    <xf numFmtId="0" fontId="5" fillId="0" borderId="11" xfId="60" applyFont="1" applyFill="1" applyBorder="1" applyAlignment="1">
      <alignment horizontal="right" vertical="top"/>
      <protection/>
    </xf>
    <xf numFmtId="0" fontId="5" fillId="0" borderId="12" xfId="60" applyFont="1" applyFill="1" applyBorder="1" applyAlignment="1">
      <alignment horizontal="center" vertical="center"/>
      <protection/>
    </xf>
    <xf numFmtId="0" fontId="5" fillId="0" borderId="10" xfId="60" applyFont="1" applyFill="1" applyBorder="1" applyAlignment="1">
      <alignment horizontal="center" vertical="center"/>
      <protection/>
    </xf>
    <xf numFmtId="0" fontId="3" fillId="0" borderId="35" xfId="60" applyFont="1" applyBorder="1" applyAlignment="1">
      <alignment horizontal="center" vertical="center"/>
      <protection/>
    </xf>
    <xf numFmtId="0" fontId="3" fillId="0" borderId="12" xfId="60" applyFont="1" applyBorder="1" applyAlignment="1">
      <alignment horizontal="center" vertical="center"/>
      <protection/>
    </xf>
    <xf numFmtId="3" fontId="3" fillId="0" borderId="0" xfId="60" applyNumberFormat="1" applyFont="1" applyAlignment="1">
      <alignment horizontal="left" vertical="top"/>
      <protection/>
    </xf>
    <xf numFmtId="0" fontId="3" fillId="0" borderId="36" xfId="60" applyFont="1" applyBorder="1" applyAlignment="1">
      <alignment horizontal="distributed" vertical="center"/>
      <protection/>
    </xf>
    <xf numFmtId="3" fontId="3" fillId="34" borderId="37" xfId="60" applyNumberFormat="1" applyFont="1" applyFill="1" applyBorder="1" applyAlignment="1">
      <alignment horizontal="right" vertical="center"/>
      <protection/>
    </xf>
    <xf numFmtId="0" fontId="3" fillId="0" borderId="31" xfId="60" applyFont="1" applyBorder="1" applyAlignment="1">
      <alignment horizontal="distributed" vertical="center"/>
      <protection/>
    </xf>
    <xf numFmtId="0" fontId="3" fillId="0" borderId="0" xfId="60" applyFont="1" applyBorder="1" applyAlignment="1">
      <alignment horizontal="left" vertical="top"/>
      <protection/>
    </xf>
    <xf numFmtId="3" fontId="3" fillId="35" borderId="38" xfId="60" applyNumberFormat="1" applyFont="1" applyFill="1" applyBorder="1" applyAlignment="1">
      <alignment horizontal="right" vertical="center"/>
      <protection/>
    </xf>
    <xf numFmtId="3" fontId="3" fillId="34" borderId="39" xfId="60" applyNumberFormat="1" applyFont="1" applyFill="1" applyBorder="1" applyAlignment="1">
      <alignment horizontal="right" vertical="center"/>
      <protection/>
    </xf>
    <xf numFmtId="3" fontId="3" fillId="35" borderId="32" xfId="60" applyNumberFormat="1" applyFont="1" applyFill="1" applyBorder="1" applyAlignment="1">
      <alignment horizontal="right" vertical="center"/>
      <protection/>
    </xf>
    <xf numFmtId="3" fontId="3" fillId="34" borderId="40" xfId="60" applyNumberFormat="1" applyFont="1" applyFill="1" applyBorder="1" applyAlignment="1">
      <alignment horizontal="right" vertical="center"/>
      <protection/>
    </xf>
    <xf numFmtId="0" fontId="3" fillId="0" borderId="0" xfId="60" applyFont="1" applyAlignment="1">
      <alignment horizontal="left"/>
      <protection/>
    </xf>
    <xf numFmtId="0" fontId="5" fillId="35" borderId="35" xfId="60" applyFont="1" applyFill="1" applyBorder="1" applyAlignment="1">
      <alignment horizontal="right"/>
      <protection/>
    </xf>
    <xf numFmtId="0" fontId="5" fillId="34" borderId="11" xfId="60" applyFont="1" applyFill="1" applyBorder="1" applyAlignment="1">
      <alignment horizontal="right"/>
      <protection/>
    </xf>
    <xf numFmtId="0" fontId="5" fillId="35" borderId="12" xfId="60" applyFont="1" applyFill="1" applyBorder="1" applyAlignment="1">
      <alignment horizontal="right"/>
      <protection/>
    </xf>
    <xf numFmtId="0" fontId="3" fillId="0" borderId="10" xfId="60" applyFont="1" applyBorder="1" applyAlignment="1">
      <alignment horizontal="center" vertical="center"/>
      <protection/>
    </xf>
    <xf numFmtId="0" fontId="3" fillId="0" borderId="41" xfId="60" applyFont="1" applyBorder="1" applyAlignment="1">
      <alignment horizontal="center" vertical="center"/>
      <protection/>
    </xf>
    <xf numFmtId="0" fontId="3" fillId="0" borderId="42" xfId="60" applyFont="1" applyBorder="1" applyAlignment="1">
      <alignment horizontal="center" vertical="center"/>
      <protection/>
    </xf>
    <xf numFmtId="0" fontId="3" fillId="0" borderId="43" xfId="60" applyFont="1" applyBorder="1" applyAlignment="1">
      <alignment horizontal="distributed" vertical="center"/>
      <protection/>
    </xf>
    <xf numFmtId="0" fontId="3" fillId="0" borderId="44" xfId="60" applyFont="1" applyBorder="1" applyAlignment="1">
      <alignment horizontal="distributed" vertical="center"/>
      <protection/>
    </xf>
    <xf numFmtId="0" fontId="3" fillId="0" borderId="45" xfId="60" applyFont="1" applyBorder="1" applyAlignment="1">
      <alignment horizontal="center" vertical="center"/>
      <protection/>
    </xf>
    <xf numFmtId="0" fontId="3" fillId="0" borderId="46" xfId="60" applyFont="1" applyBorder="1" applyAlignment="1">
      <alignment horizontal="center" vertical="center"/>
      <protection/>
    </xf>
    <xf numFmtId="0" fontId="5" fillId="34" borderId="47" xfId="60" applyFont="1" applyFill="1" applyBorder="1" applyAlignment="1">
      <alignment horizontal="right"/>
      <protection/>
    </xf>
    <xf numFmtId="0" fontId="5" fillId="34" borderId="48" xfId="60" applyFont="1" applyFill="1" applyBorder="1" applyAlignment="1">
      <alignment horizontal="right"/>
      <protection/>
    </xf>
    <xf numFmtId="0" fontId="5" fillId="34" borderId="49" xfId="60" applyFont="1" applyFill="1" applyBorder="1" applyAlignment="1">
      <alignment horizontal="right"/>
      <protection/>
    </xf>
    <xf numFmtId="0" fontId="5" fillId="34" borderId="14" xfId="60" applyFont="1" applyFill="1" applyBorder="1" applyAlignment="1">
      <alignment horizontal="right"/>
      <protection/>
    </xf>
    <xf numFmtId="3" fontId="3" fillId="0" borderId="0" xfId="60" applyNumberFormat="1" applyFont="1" applyAlignment="1">
      <alignment horizontal="left" vertical="center"/>
      <protection/>
    </xf>
    <xf numFmtId="0" fontId="3" fillId="36" borderId="50" xfId="60" applyFont="1" applyFill="1" applyBorder="1" applyAlignment="1">
      <alignment horizontal="distributed" vertical="center"/>
      <protection/>
    </xf>
    <xf numFmtId="0" fontId="3" fillId="0" borderId="23" xfId="60" applyFont="1" applyBorder="1" applyAlignment="1">
      <alignment horizontal="distributed" vertical="center"/>
      <protection/>
    </xf>
    <xf numFmtId="0" fontId="3" fillId="36" borderId="51" xfId="60" applyFont="1" applyFill="1" applyBorder="1" applyAlignment="1">
      <alignment horizontal="distributed" vertical="center"/>
      <protection/>
    </xf>
    <xf numFmtId="0" fontId="10" fillId="0" borderId="0" xfId="60" applyFont="1" applyAlignment="1">
      <alignment horizontal="center" vertical="top"/>
      <protection/>
    </xf>
    <xf numFmtId="0" fontId="3" fillId="0" borderId="11" xfId="60" applyFont="1" applyBorder="1" applyAlignment="1">
      <alignment horizontal="center" vertical="center"/>
      <protection/>
    </xf>
    <xf numFmtId="0" fontId="3" fillId="0" borderId="0" xfId="60" applyFont="1" applyAlignment="1" quotePrefix="1">
      <alignment horizontal="left" vertical="top"/>
      <protection/>
    </xf>
    <xf numFmtId="0" fontId="3" fillId="0" borderId="0" xfId="60" applyFont="1" applyFill="1" applyBorder="1" applyAlignment="1">
      <alignment horizontal="distributed" vertical="center"/>
      <protection/>
    </xf>
    <xf numFmtId="0" fontId="3" fillId="0" borderId="0" xfId="60" applyFont="1" applyFill="1" applyBorder="1" applyAlignment="1">
      <alignment horizontal="right" vertical="center"/>
      <protection/>
    </xf>
    <xf numFmtId="3" fontId="3" fillId="0" borderId="0" xfId="60" applyNumberFormat="1" applyFont="1" applyFill="1" applyBorder="1" applyAlignment="1">
      <alignment horizontal="right" vertical="center"/>
      <protection/>
    </xf>
    <xf numFmtId="0" fontId="3" fillId="0" borderId="0" xfId="60" applyFont="1" applyBorder="1" applyAlignment="1">
      <alignment horizontal="left" vertical="top" wrapText="1"/>
      <protection/>
    </xf>
    <xf numFmtId="0" fontId="3" fillId="0" borderId="0" xfId="60" applyFont="1" applyFill="1" applyBorder="1" applyAlignment="1">
      <alignment horizontal="left" vertical="top"/>
      <protection/>
    </xf>
    <xf numFmtId="3" fontId="3" fillId="0" borderId="0" xfId="60" applyNumberFormat="1" applyFont="1" applyFill="1" applyBorder="1" applyAlignment="1">
      <alignment horizontal="right" vertical="center" indent="1"/>
      <protection/>
    </xf>
    <xf numFmtId="3" fontId="3" fillId="0" borderId="0" xfId="60" applyNumberFormat="1" applyFont="1" applyFill="1" applyBorder="1" applyAlignment="1">
      <alignment horizontal="left" vertical="center"/>
      <protection/>
    </xf>
    <xf numFmtId="0" fontId="3" fillId="0" borderId="0" xfId="60" applyFont="1" applyFill="1" applyBorder="1" applyAlignment="1">
      <alignment horizontal="left" vertical="center"/>
      <protection/>
    </xf>
    <xf numFmtId="3" fontId="3" fillId="34" borderId="52" xfId="60" applyNumberFormat="1" applyFont="1" applyFill="1" applyBorder="1" applyAlignment="1">
      <alignment horizontal="right" vertical="center"/>
      <protection/>
    </xf>
    <xf numFmtId="3" fontId="3" fillId="34" borderId="53" xfId="60" applyNumberFormat="1" applyFont="1" applyFill="1" applyBorder="1" applyAlignment="1">
      <alignment horizontal="right" vertical="center"/>
      <protection/>
    </xf>
    <xf numFmtId="3" fontId="3" fillId="35" borderId="29" xfId="60" applyNumberFormat="1" applyFont="1" applyFill="1" applyBorder="1" applyAlignment="1">
      <alignment horizontal="right" vertical="center"/>
      <protection/>
    </xf>
    <xf numFmtId="3" fontId="3" fillId="35" borderId="54" xfId="60" applyNumberFormat="1" applyFont="1" applyFill="1" applyBorder="1" applyAlignment="1">
      <alignment horizontal="right" vertical="center"/>
      <protection/>
    </xf>
    <xf numFmtId="3" fontId="8" fillId="34" borderId="53" xfId="60" applyNumberFormat="1" applyFont="1" applyFill="1" applyBorder="1" applyAlignment="1">
      <alignment horizontal="right" vertical="center"/>
      <protection/>
    </xf>
    <xf numFmtId="3" fontId="8" fillId="35" borderId="29" xfId="60" applyNumberFormat="1" applyFont="1" applyFill="1" applyBorder="1" applyAlignment="1">
      <alignment horizontal="right" vertical="center"/>
      <protection/>
    </xf>
    <xf numFmtId="3" fontId="8" fillId="35" borderId="54" xfId="60" applyNumberFormat="1" applyFont="1" applyFill="1" applyBorder="1" applyAlignment="1">
      <alignment horizontal="right" vertical="center"/>
      <protection/>
    </xf>
    <xf numFmtId="3" fontId="3" fillId="34" borderId="55" xfId="60" applyNumberFormat="1" applyFont="1" applyFill="1" applyBorder="1" applyAlignment="1">
      <alignment horizontal="right" vertical="center"/>
      <protection/>
    </xf>
    <xf numFmtId="3" fontId="3" fillId="35" borderId="56" xfId="60" applyNumberFormat="1" applyFont="1" applyFill="1" applyBorder="1" applyAlignment="1">
      <alignment horizontal="right" vertical="center"/>
      <protection/>
    </xf>
    <xf numFmtId="3" fontId="3" fillId="35" borderId="57" xfId="60" applyNumberFormat="1" applyFont="1" applyFill="1" applyBorder="1" applyAlignment="1">
      <alignment horizontal="right" vertical="center"/>
      <protection/>
    </xf>
    <xf numFmtId="3" fontId="3" fillId="34" borderId="58" xfId="60" applyNumberFormat="1" applyFont="1" applyFill="1" applyBorder="1" applyAlignment="1">
      <alignment horizontal="right" vertical="center"/>
      <protection/>
    </xf>
    <xf numFmtId="3" fontId="3" fillId="34" borderId="58" xfId="60" applyNumberFormat="1" applyFont="1" applyFill="1" applyBorder="1" applyAlignment="1">
      <alignment vertical="center"/>
      <protection/>
    </xf>
    <xf numFmtId="3" fontId="3" fillId="34" borderId="53" xfId="60" applyNumberFormat="1" applyFont="1" applyFill="1" applyBorder="1" applyAlignment="1">
      <alignment vertical="center"/>
      <protection/>
    </xf>
    <xf numFmtId="3" fontId="8" fillId="34" borderId="59" xfId="60" applyNumberFormat="1" applyFont="1" applyFill="1" applyBorder="1" applyAlignment="1">
      <alignment horizontal="right" vertical="center"/>
      <protection/>
    </xf>
    <xf numFmtId="3" fontId="8" fillId="35" borderId="60" xfId="60" applyNumberFormat="1" applyFont="1" applyFill="1" applyBorder="1" applyAlignment="1">
      <alignment horizontal="right" vertical="center"/>
      <protection/>
    </xf>
    <xf numFmtId="3" fontId="8" fillId="35" borderId="61" xfId="60" applyNumberFormat="1" applyFont="1" applyFill="1" applyBorder="1" applyAlignment="1">
      <alignment horizontal="right" vertical="center"/>
      <protection/>
    </xf>
    <xf numFmtId="3" fontId="3" fillId="34" borderId="62" xfId="60" applyNumberFormat="1" applyFont="1" applyFill="1" applyBorder="1" applyAlignment="1">
      <alignment horizontal="right" vertical="center"/>
      <protection/>
    </xf>
    <xf numFmtId="3" fontId="3" fillId="35" borderId="63" xfId="60" applyNumberFormat="1" applyFont="1" applyFill="1" applyBorder="1" applyAlignment="1">
      <alignment horizontal="right" vertical="center"/>
      <protection/>
    </xf>
    <xf numFmtId="3" fontId="3" fillId="35" borderId="64" xfId="60" applyNumberFormat="1" applyFont="1" applyFill="1" applyBorder="1" applyAlignment="1">
      <alignment horizontal="right" vertical="center"/>
      <protection/>
    </xf>
    <xf numFmtId="3" fontId="3" fillId="34" borderId="65" xfId="60" applyNumberFormat="1" applyFont="1" applyFill="1" applyBorder="1" applyAlignment="1">
      <alignment horizontal="right" vertical="center"/>
      <protection/>
    </xf>
    <xf numFmtId="3" fontId="3" fillId="35" borderId="36" xfId="60" applyNumberFormat="1" applyFont="1" applyFill="1" applyBorder="1" applyAlignment="1">
      <alignment horizontal="right" vertical="center"/>
      <protection/>
    </xf>
    <xf numFmtId="3" fontId="3" fillId="35" borderId="66" xfId="60" applyNumberFormat="1" applyFont="1" applyFill="1" applyBorder="1" applyAlignment="1">
      <alignment horizontal="right" vertical="center"/>
      <protection/>
    </xf>
    <xf numFmtId="3" fontId="3" fillId="34" borderId="67" xfId="60" applyNumberFormat="1" applyFont="1" applyFill="1" applyBorder="1" applyAlignment="1">
      <alignment horizontal="right" vertical="center" indent="1"/>
      <protection/>
    </xf>
    <xf numFmtId="3" fontId="3" fillId="34" borderId="68" xfId="60" applyNumberFormat="1" applyFont="1" applyFill="1" applyBorder="1" applyAlignment="1">
      <alignment horizontal="right" vertical="center" indent="1"/>
      <protection/>
    </xf>
    <xf numFmtId="3" fontId="3" fillId="34" borderId="69" xfId="60" applyNumberFormat="1" applyFont="1" applyFill="1" applyBorder="1" applyAlignment="1">
      <alignment horizontal="right" vertical="center" indent="1"/>
      <protection/>
    </xf>
    <xf numFmtId="3" fontId="3" fillId="34" borderId="20" xfId="60" applyNumberFormat="1" applyFont="1" applyFill="1" applyBorder="1" applyAlignment="1">
      <alignment horizontal="right" vertical="center" indent="1"/>
      <protection/>
    </xf>
    <xf numFmtId="176" fontId="3" fillId="34" borderId="40" xfId="60" applyNumberFormat="1" applyFont="1" applyFill="1" applyBorder="1" applyAlignment="1">
      <alignment horizontal="right" vertical="center"/>
      <protection/>
    </xf>
    <xf numFmtId="176" fontId="3" fillId="35" borderId="34" xfId="60" applyNumberFormat="1" applyFont="1" applyFill="1" applyBorder="1" applyAlignment="1">
      <alignment horizontal="right" vertical="center"/>
      <protection/>
    </xf>
    <xf numFmtId="176" fontId="3" fillId="35" borderId="70" xfId="60" applyNumberFormat="1" applyFont="1" applyFill="1" applyBorder="1" applyAlignment="1">
      <alignment horizontal="right" vertical="center"/>
      <protection/>
    </xf>
    <xf numFmtId="176" fontId="3" fillId="34" borderId="71" xfId="60" applyNumberFormat="1" applyFont="1" applyFill="1" applyBorder="1" applyAlignment="1">
      <alignment horizontal="right" vertical="center"/>
      <protection/>
    </xf>
    <xf numFmtId="176" fontId="3" fillId="35" borderId="29" xfId="60" applyNumberFormat="1" applyFont="1" applyFill="1" applyBorder="1" applyAlignment="1">
      <alignment horizontal="right" vertical="center"/>
      <protection/>
    </xf>
    <xf numFmtId="176" fontId="3" fillId="35" borderId="72" xfId="60" applyNumberFormat="1" applyFont="1" applyFill="1" applyBorder="1" applyAlignment="1">
      <alignment horizontal="right" vertical="center"/>
      <protection/>
    </xf>
    <xf numFmtId="176" fontId="3" fillId="34" borderId="73" xfId="60" applyNumberFormat="1" applyFont="1" applyFill="1" applyBorder="1" applyAlignment="1">
      <alignment horizontal="right" vertical="center"/>
      <protection/>
    </xf>
    <xf numFmtId="176" fontId="3" fillId="35" borderId="74" xfId="60" applyNumberFormat="1" applyFont="1" applyFill="1" applyBorder="1" applyAlignment="1">
      <alignment horizontal="right" vertical="center"/>
      <protection/>
    </xf>
    <xf numFmtId="176" fontId="3" fillId="35" borderId="75" xfId="60" applyNumberFormat="1" applyFont="1" applyFill="1" applyBorder="1" applyAlignment="1">
      <alignment horizontal="right" vertical="center"/>
      <protection/>
    </xf>
    <xf numFmtId="176" fontId="8" fillId="34" borderId="26" xfId="60" applyNumberFormat="1" applyFont="1" applyFill="1" applyBorder="1" applyAlignment="1">
      <alignment horizontal="right" vertical="center"/>
      <protection/>
    </xf>
    <xf numFmtId="176" fontId="8" fillId="35" borderId="63" xfId="60" applyNumberFormat="1" applyFont="1" applyFill="1" applyBorder="1" applyAlignment="1">
      <alignment horizontal="right" vertical="center"/>
      <protection/>
    </xf>
    <xf numFmtId="176" fontId="8" fillId="35" borderId="76" xfId="60" applyNumberFormat="1" applyFont="1" applyFill="1" applyBorder="1" applyAlignment="1">
      <alignment horizontal="right" vertical="center"/>
      <protection/>
    </xf>
    <xf numFmtId="176" fontId="3" fillId="34" borderId="52" xfId="60" applyNumberFormat="1" applyFont="1" applyFill="1" applyBorder="1" applyAlignment="1">
      <alignment horizontal="right" vertical="center"/>
      <protection/>
    </xf>
    <xf numFmtId="176" fontId="3" fillId="34" borderId="70" xfId="60" applyNumberFormat="1" applyFont="1" applyFill="1" applyBorder="1" applyAlignment="1">
      <alignment horizontal="right" vertical="center"/>
      <protection/>
    </xf>
    <xf numFmtId="176" fontId="3" fillId="34" borderId="77" xfId="60" applyNumberFormat="1" applyFont="1" applyFill="1" applyBorder="1" applyAlignment="1">
      <alignment horizontal="right" vertical="center"/>
      <protection/>
    </xf>
    <xf numFmtId="176" fontId="3" fillId="34" borderId="75" xfId="60" applyNumberFormat="1" applyFont="1" applyFill="1" applyBorder="1" applyAlignment="1">
      <alignment horizontal="right" vertical="center"/>
      <protection/>
    </xf>
    <xf numFmtId="176" fontId="8" fillId="34" borderId="62" xfId="60" applyNumberFormat="1" applyFont="1" applyFill="1" applyBorder="1" applyAlignment="1">
      <alignment horizontal="right" vertical="center"/>
      <protection/>
    </xf>
    <xf numFmtId="176" fontId="8" fillId="34" borderId="76" xfId="60" applyNumberFormat="1" applyFont="1" applyFill="1" applyBorder="1" applyAlignment="1">
      <alignment horizontal="right" vertical="center"/>
      <protection/>
    </xf>
    <xf numFmtId="0" fontId="3" fillId="0" borderId="78" xfId="60" applyFont="1" applyBorder="1" applyAlignment="1">
      <alignment horizontal="distributed" vertical="center" wrapText="1"/>
      <protection/>
    </xf>
    <xf numFmtId="0" fontId="3" fillId="0" borderId="78" xfId="60" applyFont="1" applyBorder="1" applyAlignment="1">
      <alignment horizontal="distributed" vertical="center"/>
      <protection/>
    </xf>
    <xf numFmtId="0" fontId="3" fillId="0" borderId="79" xfId="60" applyFont="1" applyBorder="1" applyAlignment="1">
      <alignment horizontal="distributed" vertical="center"/>
      <protection/>
    </xf>
    <xf numFmtId="0" fontId="3" fillId="0" borderId="80" xfId="60" applyFont="1" applyBorder="1" applyAlignment="1">
      <alignment horizontal="distributed" vertical="center" wrapText="1"/>
      <protection/>
    </xf>
    <xf numFmtId="0" fontId="3" fillId="0" borderId="81" xfId="60" applyFont="1" applyBorder="1" applyAlignment="1">
      <alignment horizontal="distributed" vertical="center"/>
      <protection/>
    </xf>
    <xf numFmtId="0" fontId="8" fillId="0" borderId="82" xfId="60" applyFont="1" applyBorder="1" applyAlignment="1">
      <alignment horizontal="distributed" vertical="center"/>
      <protection/>
    </xf>
    <xf numFmtId="0" fontId="8" fillId="0" borderId="83" xfId="60" applyFont="1" applyBorder="1" applyAlignment="1">
      <alignment horizontal="distributed" vertical="center"/>
      <protection/>
    </xf>
    <xf numFmtId="0" fontId="3" fillId="0" borderId="19" xfId="60" applyFont="1" applyBorder="1" applyAlignment="1">
      <alignment horizontal="distributed" vertical="center"/>
      <protection/>
    </xf>
    <xf numFmtId="0" fontId="3" fillId="0" borderId="84" xfId="60" applyFont="1" applyBorder="1" applyAlignment="1">
      <alignment horizontal="distributed" vertical="center"/>
      <protection/>
    </xf>
    <xf numFmtId="0" fontId="3" fillId="0" borderId="0" xfId="60" applyFont="1" applyBorder="1" applyAlignment="1">
      <alignment horizontal="left" vertical="top" wrapText="1"/>
      <protection/>
    </xf>
    <xf numFmtId="0" fontId="3" fillId="0" borderId="0" xfId="60" applyFont="1" applyAlignment="1">
      <alignment horizontal="left" vertical="top" wrapText="1"/>
      <protection/>
    </xf>
    <xf numFmtId="0" fontId="10" fillId="0" borderId="0" xfId="60" applyFont="1" applyAlignment="1">
      <alignment horizontal="center" vertical="top"/>
      <protection/>
    </xf>
    <xf numFmtId="0" fontId="3" fillId="0" borderId="0" xfId="60" applyFont="1" applyAlignment="1">
      <alignment horizontal="left" vertical="top"/>
      <protection/>
    </xf>
    <xf numFmtId="0" fontId="3" fillId="0" borderId="85" xfId="60" applyFont="1" applyBorder="1" applyAlignment="1">
      <alignment horizontal="center" vertical="center"/>
      <protection/>
    </xf>
    <xf numFmtId="0" fontId="3" fillId="0" borderId="86" xfId="60" applyFont="1" applyBorder="1" applyAlignment="1">
      <alignment horizontal="center" vertical="center"/>
      <protection/>
    </xf>
    <xf numFmtId="0" fontId="3" fillId="0" borderId="87" xfId="60" applyFont="1" applyBorder="1" applyAlignment="1">
      <alignment horizontal="center" vertical="center"/>
      <protection/>
    </xf>
    <xf numFmtId="0" fontId="3" fillId="0" borderId="88" xfId="60" applyFont="1" applyBorder="1" applyAlignment="1">
      <alignment horizontal="center" vertical="center"/>
      <protection/>
    </xf>
    <xf numFmtId="0" fontId="3" fillId="0" borderId="89" xfId="60" applyFont="1" applyBorder="1" applyAlignment="1">
      <alignment horizontal="center" vertical="center"/>
      <protection/>
    </xf>
    <xf numFmtId="0" fontId="3" fillId="0" borderId="90" xfId="60" applyFont="1" applyBorder="1" applyAlignment="1">
      <alignment horizontal="center" vertical="center"/>
      <protection/>
    </xf>
    <xf numFmtId="0" fontId="3" fillId="0" borderId="91" xfId="60" applyFont="1" applyBorder="1" applyAlignment="1">
      <alignment horizontal="center" vertical="center"/>
      <protection/>
    </xf>
    <xf numFmtId="0" fontId="3" fillId="0" borderId="92" xfId="60" applyFont="1" applyBorder="1" applyAlignment="1">
      <alignment horizontal="center" vertical="center"/>
      <protection/>
    </xf>
    <xf numFmtId="0" fontId="3" fillId="0" borderId="11" xfId="60" applyFont="1" applyBorder="1" applyAlignment="1">
      <alignment horizontal="center" vertical="center"/>
      <protection/>
    </xf>
    <xf numFmtId="0" fontId="3" fillId="0" borderId="22" xfId="60" applyFont="1" applyBorder="1" applyAlignment="1">
      <alignment horizontal="center" vertical="center"/>
      <protection/>
    </xf>
    <xf numFmtId="0" fontId="3" fillId="0" borderId="80" xfId="60" applyFont="1" applyBorder="1" applyAlignment="1">
      <alignment horizontal="center" vertical="center"/>
      <protection/>
    </xf>
    <xf numFmtId="0" fontId="3" fillId="0" borderId="93" xfId="60" applyFont="1" applyBorder="1" applyAlignment="1">
      <alignment horizontal="center" vertical="center"/>
      <protection/>
    </xf>
    <xf numFmtId="0" fontId="3" fillId="0" borderId="94" xfId="60" applyFont="1" applyBorder="1" applyAlignment="1">
      <alignment horizontal="center" vertical="center"/>
      <protection/>
    </xf>
    <xf numFmtId="0" fontId="3" fillId="0" borderId="25" xfId="60" applyFont="1" applyBorder="1" applyAlignment="1">
      <alignment horizontal="center" vertical="center"/>
      <protection/>
    </xf>
    <xf numFmtId="0" fontId="3" fillId="0" borderId="95" xfId="60" applyFont="1" applyBorder="1" applyAlignment="1">
      <alignment horizontal="center" vertical="center"/>
      <protection/>
    </xf>
    <xf numFmtId="0" fontId="3" fillId="0" borderId="96" xfId="60" applyFont="1" applyBorder="1" applyAlignment="1">
      <alignment horizontal="center" vertical="center"/>
      <protection/>
    </xf>
    <xf numFmtId="0" fontId="3" fillId="0" borderId="97" xfId="60" applyFont="1" applyBorder="1" applyAlignment="1">
      <alignment horizontal="center" vertical="center"/>
      <protection/>
    </xf>
    <xf numFmtId="0" fontId="3" fillId="0" borderId="98" xfId="60" applyFont="1" applyBorder="1" applyAlignment="1">
      <alignment horizontal="center" vertical="center"/>
      <protection/>
    </xf>
    <xf numFmtId="0" fontId="3" fillId="0" borderId="79" xfId="60" applyFont="1" applyBorder="1" applyAlignment="1">
      <alignment horizontal="center" vertical="center"/>
      <protection/>
    </xf>
    <xf numFmtId="0" fontId="3" fillId="0" borderId="0" xfId="60" applyFont="1" applyBorder="1" applyAlignment="1">
      <alignment horizontal="left" vertical="center"/>
      <protection/>
    </xf>
    <xf numFmtId="0" fontId="3" fillId="0" borderId="0" xfId="60" applyFont="1" applyAlignment="1">
      <alignment horizontal="left" vertical="center"/>
      <protection/>
    </xf>
    <xf numFmtId="0" fontId="3" fillId="0" borderId="85" xfId="60" applyFont="1" applyBorder="1" applyAlignment="1">
      <alignment horizontal="distributed" vertical="center"/>
      <protection/>
    </xf>
    <xf numFmtId="0" fontId="3" fillId="0" borderId="87" xfId="60" applyFont="1" applyBorder="1" applyAlignment="1">
      <alignment horizontal="distributed" vertical="center"/>
      <protection/>
    </xf>
    <xf numFmtId="0" fontId="3" fillId="0" borderId="99" xfId="60" applyFont="1" applyBorder="1" applyAlignment="1">
      <alignment horizontal="distributed" vertical="center"/>
      <protection/>
    </xf>
    <xf numFmtId="0" fontId="3" fillId="0" borderId="100" xfId="60" applyFont="1" applyBorder="1" applyAlignment="1">
      <alignment horizontal="center" vertical="center"/>
      <protection/>
    </xf>
    <xf numFmtId="0" fontId="3" fillId="0" borderId="101" xfId="60" applyFont="1" applyBorder="1" applyAlignment="1">
      <alignment horizontal="center" vertical="center"/>
      <protection/>
    </xf>
    <xf numFmtId="0" fontId="3" fillId="0" borderId="102" xfId="60" applyFont="1" applyBorder="1" applyAlignment="1">
      <alignment horizontal="center" vertical="center"/>
      <protection/>
    </xf>
    <xf numFmtId="0" fontId="3" fillId="0" borderId="103" xfId="60" applyFont="1" applyBorder="1" applyAlignment="1">
      <alignment horizontal="center" vertical="center"/>
      <protection/>
    </xf>
    <xf numFmtId="0" fontId="3" fillId="0" borderId="104" xfId="60" applyFont="1" applyBorder="1" applyAlignment="1">
      <alignment horizontal="center" vertical="center"/>
      <protection/>
    </xf>
    <xf numFmtId="0" fontId="3" fillId="0" borderId="46" xfId="60" applyFont="1" applyBorder="1" applyAlignment="1">
      <alignment horizontal="distributed" vertical="center" wrapText="1"/>
      <protection/>
    </xf>
    <xf numFmtId="0" fontId="3" fillId="0" borderId="105" xfId="60" applyFont="1" applyBorder="1" applyAlignment="1">
      <alignment horizontal="distributed" vertical="center" wrapText="1"/>
      <protection/>
    </xf>
    <xf numFmtId="0" fontId="3" fillId="0" borderId="106" xfId="60" applyFont="1" applyBorder="1" applyAlignment="1">
      <alignment horizontal="distributed" vertical="center" wrapText="1"/>
      <protection/>
    </xf>
    <xf numFmtId="0" fontId="3" fillId="0" borderId="107" xfId="60" applyFont="1" applyBorder="1" applyAlignment="1">
      <alignment horizontal="center" vertical="center"/>
      <protection/>
    </xf>
    <xf numFmtId="0" fontId="3" fillId="0" borderId="108" xfId="60" applyFont="1" applyBorder="1" applyAlignment="1">
      <alignment horizontal="center" vertical="center"/>
      <protection/>
    </xf>
    <xf numFmtId="0" fontId="3" fillId="0" borderId="109" xfId="60" applyFont="1" applyBorder="1" applyAlignment="1">
      <alignment horizontal="center" vertical="center"/>
      <protection/>
    </xf>
    <xf numFmtId="0" fontId="3" fillId="0" borderId="110" xfId="60" applyFont="1" applyBorder="1" applyAlignment="1">
      <alignment horizontal="center" vertical="center"/>
      <protection/>
    </xf>
    <xf numFmtId="0" fontId="3" fillId="0" borderId="101" xfId="60" applyFont="1" applyBorder="1" applyAlignment="1">
      <alignment horizontal="center" vertical="center" wrapText="1"/>
      <protection/>
    </xf>
    <xf numFmtId="0" fontId="3" fillId="0" borderId="111" xfId="60" applyFont="1" applyBorder="1" applyAlignment="1">
      <alignment horizontal="left" vertical="center"/>
      <protection/>
    </xf>
    <xf numFmtId="0" fontId="3" fillId="0" borderId="25" xfId="60" applyFont="1" applyBorder="1" applyAlignment="1">
      <alignment horizontal="left" vertical="center"/>
      <protection/>
    </xf>
    <xf numFmtId="0" fontId="3" fillId="0" borderId="112" xfId="60" applyFont="1" applyBorder="1" applyAlignment="1">
      <alignment horizontal="center" vertical="center"/>
      <protection/>
    </xf>
    <xf numFmtId="0" fontId="3" fillId="0" borderId="113" xfId="60" applyFont="1" applyBorder="1" applyAlignment="1">
      <alignment horizontal="center" vertical="center"/>
      <protection/>
    </xf>
    <xf numFmtId="0" fontId="3" fillId="0" borderId="114" xfId="60" applyFont="1" applyBorder="1" applyAlignment="1">
      <alignment horizontal="center" vertical="center"/>
      <protection/>
    </xf>
    <xf numFmtId="0" fontId="3" fillId="0" borderId="115" xfId="60" applyFont="1" applyBorder="1" applyAlignment="1">
      <alignment horizontal="distributed" vertical="center" wrapText="1"/>
      <protection/>
    </xf>
    <xf numFmtId="0" fontId="3" fillId="0" borderId="116" xfId="60" applyFont="1" applyBorder="1" applyAlignment="1">
      <alignment horizontal="distributed" vertical="center"/>
      <protection/>
    </xf>
    <xf numFmtId="0" fontId="3" fillId="0" borderId="117" xfId="60" applyFont="1" applyBorder="1" applyAlignment="1">
      <alignment horizontal="distributed" vertical="center" wrapText="1"/>
      <protection/>
    </xf>
    <xf numFmtId="0" fontId="3" fillId="0" borderId="118" xfId="60" applyFont="1" applyBorder="1" applyAlignment="1">
      <alignment horizontal="distributed" vertical="center"/>
      <protection/>
    </xf>
    <xf numFmtId="0" fontId="3" fillId="0" borderId="119" xfId="60" applyFont="1" applyBorder="1" applyAlignment="1">
      <alignment horizontal="distributed" vertical="center" wrapText="1"/>
      <protection/>
    </xf>
    <xf numFmtId="0" fontId="3" fillId="0" borderId="120" xfId="60" applyFont="1" applyBorder="1" applyAlignment="1">
      <alignment horizontal="distributed" vertical="center" wrapText="1"/>
      <protection/>
    </xf>
    <xf numFmtId="0" fontId="3" fillId="0" borderId="24" xfId="60" applyFont="1" applyBorder="1" applyAlignment="1">
      <alignment horizontal="center" vertical="center"/>
      <protection/>
    </xf>
    <xf numFmtId="0" fontId="3" fillId="0" borderId="100" xfId="60" applyFont="1" applyBorder="1" applyAlignment="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19"/>
  <sheetViews>
    <sheetView showGridLines="0" tabSelected="1" view="pageBreakPreview" zoomScaleSheetLayoutView="100" zoomScalePageLayoutView="0" workbookViewId="0" topLeftCell="A1">
      <selection activeCell="A1" sqref="A1:K1"/>
    </sheetView>
  </sheetViews>
  <sheetFormatPr defaultColWidth="5.8515625" defaultRowHeight="15"/>
  <cols>
    <col min="1" max="1" width="10.57421875" style="2" customWidth="1"/>
    <col min="2" max="2" width="16.00390625" style="2" customWidth="1"/>
    <col min="3" max="3" width="3.00390625" style="2" customWidth="1"/>
    <col min="4" max="4" width="6.7109375" style="2" customWidth="1"/>
    <col min="5" max="5" width="9.7109375" style="2" customWidth="1"/>
    <col min="6" max="6" width="3.00390625" style="2" customWidth="1"/>
    <col min="7" max="7" width="6.7109375" style="2" customWidth="1"/>
    <col min="8" max="8" width="11.421875" style="2" bestFit="1" customWidth="1"/>
    <col min="9" max="9" width="3.00390625" style="2" customWidth="1"/>
    <col min="10" max="10" width="6.7109375" style="2" customWidth="1"/>
    <col min="11" max="11" width="11.421875" style="2" bestFit="1" customWidth="1"/>
    <col min="12" max="16384" width="5.8515625" style="2" customWidth="1"/>
  </cols>
  <sheetData>
    <row r="1" spans="1:11" ht="15">
      <c r="A1" s="154" t="s">
        <v>65</v>
      </c>
      <c r="B1" s="154"/>
      <c r="C1" s="154"/>
      <c r="D1" s="154"/>
      <c r="E1" s="154"/>
      <c r="F1" s="154"/>
      <c r="G1" s="154"/>
      <c r="H1" s="154"/>
      <c r="I1" s="154"/>
      <c r="J1" s="154"/>
      <c r="K1" s="154"/>
    </row>
    <row r="2" spans="1:11" ht="15">
      <c r="A2" s="88"/>
      <c r="B2" s="88"/>
      <c r="C2" s="88"/>
      <c r="D2" s="88"/>
      <c r="E2" s="88"/>
      <c r="F2" s="88"/>
      <c r="G2" s="88"/>
      <c r="H2" s="88"/>
      <c r="I2" s="88"/>
      <c r="J2" s="88"/>
      <c r="K2" s="88"/>
    </row>
    <row r="3" spans="1:11" ht="12" thickBot="1">
      <c r="A3" s="155" t="s">
        <v>64</v>
      </c>
      <c r="B3" s="155"/>
      <c r="C3" s="155"/>
      <c r="D3" s="155"/>
      <c r="E3" s="155"/>
      <c r="F3" s="155"/>
      <c r="G3" s="155"/>
      <c r="H3" s="155"/>
      <c r="I3" s="155"/>
      <c r="J3" s="155"/>
      <c r="K3" s="155"/>
    </row>
    <row r="4" spans="1:11" ht="24" customHeight="1">
      <c r="A4" s="156" t="s">
        <v>63</v>
      </c>
      <c r="B4" s="157"/>
      <c r="C4" s="160" t="s">
        <v>62</v>
      </c>
      <c r="D4" s="161"/>
      <c r="E4" s="162"/>
      <c r="F4" s="160" t="s">
        <v>61</v>
      </c>
      <c r="G4" s="161"/>
      <c r="H4" s="162"/>
      <c r="I4" s="160" t="s">
        <v>60</v>
      </c>
      <c r="J4" s="161"/>
      <c r="K4" s="163"/>
    </row>
    <row r="5" spans="1:11" ht="24" customHeight="1">
      <c r="A5" s="158"/>
      <c r="B5" s="159"/>
      <c r="C5" s="164" t="s">
        <v>59</v>
      </c>
      <c r="D5" s="165"/>
      <c r="E5" s="59" t="s">
        <v>58</v>
      </c>
      <c r="F5" s="164" t="s">
        <v>59</v>
      </c>
      <c r="G5" s="165"/>
      <c r="H5" s="59" t="s">
        <v>58</v>
      </c>
      <c r="I5" s="164" t="s">
        <v>59</v>
      </c>
      <c r="J5" s="165"/>
      <c r="K5" s="58" t="s">
        <v>58</v>
      </c>
    </row>
    <row r="6" spans="1:11" ht="12" customHeight="1">
      <c r="A6" s="57"/>
      <c r="B6" s="56"/>
      <c r="C6" s="55"/>
      <c r="D6" s="23" t="s">
        <v>57</v>
      </c>
      <c r="E6" s="7" t="s">
        <v>56</v>
      </c>
      <c r="F6" s="55"/>
      <c r="G6" s="23" t="s">
        <v>57</v>
      </c>
      <c r="H6" s="7" t="s">
        <v>56</v>
      </c>
      <c r="I6" s="55"/>
      <c r="J6" s="23" t="s">
        <v>57</v>
      </c>
      <c r="K6" s="54" t="s">
        <v>56</v>
      </c>
    </row>
    <row r="7" spans="1:11" ht="30" customHeight="1">
      <c r="A7" s="143" t="s">
        <v>55</v>
      </c>
      <c r="B7" s="53" t="s">
        <v>54</v>
      </c>
      <c r="C7" s="45"/>
      <c r="D7" s="99">
        <v>18881</v>
      </c>
      <c r="E7" s="52">
        <v>13654495</v>
      </c>
      <c r="F7" s="49"/>
      <c r="G7" s="99">
        <v>55941</v>
      </c>
      <c r="H7" s="52">
        <v>367378794</v>
      </c>
      <c r="I7" s="49"/>
      <c r="J7" s="99">
        <v>74822</v>
      </c>
      <c r="K7" s="51">
        <v>381033290</v>
      </c>
    </row>
    <row r="8" spans="1:11" ht="30" customHeight="1">
      <c r="A8" s="144"/>
      <c r="B8" s="50" t="s">
        <v>53</v>
      </c>
      <c r="C8" s="45"/>
      <c r="D8" s="100">
        <v>32514</v>
      </c>
      <c r="E8" s="101">
        <v>13603023</v>
      </c>
      <c r="F8" s="49"/>
      <c r="G8" s="100">
        <v>21866</v>
      </c>
      <c r="H8" s="101">
        <v>12953502</v>
      </c>
      <c r="I8" s="49"/>
      <c r="J8" s="100">
        <v>54380</v>
      </c>
      <c r="K8" s="102">
        <v>26556525</v>
      </c>
    </row>
    <row r="9" spans="1:11" s="36" customFormat="1" ht="30" customHeight="1">
      <c r="A9" s="144"/>
      <c r="B9" s="48" t="s">
        <v>52</v>
      </c>
      <c r="C9" s="47"/>
      <c r="D9" s="103">
        <v>51395</v>
      </c>
      <c r="E9" s="104">
        <v>27257518</v>
      </c>
      <c r="F9" s="47"/>
      <c r="G9" s="103">
        <v>77807</v>
      </c>
      <c r="H9" s="104">
        <v>380332297</v>
      </c>
      <c r="I9" s="47"/>
      <c r="J9" s="103">
        <v>129202</v>
      </c>
      <c r="K9" s="105">
        <v>407589815</v>
      </c>
    </row>
    <row r="10" spans="1:11" ht="30" customHeight="1">
      <c r="A10" s="145"/>
      <c r="B10" s="46" t="s">
        <v>51</v>
      </c>
      <c r="C10" s="45"/>
      <c r="D10" s="106">
        <v>2688</v>
      </c>
      <c r="E10" s="107">
        <v>1536860</v>
      </c>
      <c r="F10" s="45"/>
      <c r="G10" s="106">
        <v>3591</v>
      </c>
      <c r="H10" s="107">
        <v>21235798</v>
      </c>
      <c r="I10" s="45"/>
      <c r="J10" s="106">
        <v>6279</v>
      </c>
      <c r="K10" s="108">
        <v>22772658</v>
      </c>
    </row>
    <row r="11" spans="1:11" ht="30" customHeight="1">
      <c r="A11" s="146" t="s">
        <v>50</v>
      </c>
      <c r="B11" s="44" t="s">
        <v>49</v>
      </c>
      <c r="C11" s="89"/>
      <c r="D11" s="109">
        <v>2986</v>
      </c>
      <c r="E11" s="43">
        <v>725166</v>
      </c>
      <c r="F11" s="42"/>
      <c r="G11" s="110">
        <v>3954</v>
      </c>
      <c r="H11" s="43">
        <v>1541597</v>
      </c>
      <c r="I11" s="42"/>
      <c r="J11" s="110">
        <v>6940</v>
      </c>
      <c r="K11" s="41">
        <v>2266763</v>
      </c>
    </row>
    <row r="12" spans="1:11" ht="30" customHeight="1">
      <c r="A12" s="147"/>
      <c r="B12" s="40" t="s">
        <v>48</v>
      </c>
      <c r="C12" s="39"/>
      <c r="D12" s="100">
        <v>348</v>
      </c>
      <c r="E12" s="101">
        <v>71160</v>
      </c>
      <c r="F12" s="38"/>
      <c r="G12" s="111">
        <v>631</v>
      </c>
      <c r="H12" s="101">
        <v>362337</v>
      </c>
      <c r="I12" s="38"/>
      <c r="J12" s="111">
        <v>979</v>
      </c>
      <c r="K12" s="102">
        <v>433497</v>
      </c>
    </row>
    <row r="13" spans="1:11" s="36" customFormat="1" ht="30" customHeight="1">
      <c r="A13" s="148" t="s">
        <v>47</v>
      </c>
      <c r="B13" s="149"/>
      <c r="C13" s="37" t="s">
        <v>46</v>
      </c>
      <c r="D13" s="112">
        <v>55379</v>
      </c>
      <c r="E13" s="113">
        <v>26374664</v>
      </c>
      <c r="F13" s="37" t="s">
        <v>46</v>
      </c>
      <c r="G13" s="112">
        <v>82129</v>
      </c>
      <c r="H13" s="113">
        <v>360275759</v>
      </c>
      <c r="I13" s="37" t="s">
        <v>46</v>
      </c>
      <c r="J13" s="112">
        <v>137508</v>
      </c>
      <c r="K13" s="114">
        <v>386650423</v>
      </c>
    </row>
    <row r="14" spans="1:11" ht="30" customHeight="1" thickBot="1">
      <c r="A14" s="150" t="s">
        <v>45</v>
      </c>
      <c r="B14" s="151"/>
      <c r="C14" s="35"/>
      <c r="D14" s="115">
        <v>2565</v>
      </c>
      <c r="E14" s="116">
        <v>137937</v>
      </c>
      <c r="F14" s="34"/>
      <c r="G14" s="115">
        <v>3261</v>
      </c>
      <c r="H14" s="116">
        <v>258723</v>
      </c>
      <c r="I14" s="34"/>
      <c r="J14" s="115">
        <v>5826</v>
      </c>
      <c r="K14" s="117">
        <v>396659</v>
      </c>
    </row>
    <row r="15" spans="1:11" s="95" customFormat="1" ht="3" customHeight="1">
      <c r="A15" s="91"/>
      <c r="B15" s="91"/>
      <c r="C15" s="92"/>
      <c r="D15" s="93"/>
      <c r="E15" s="93"/>
      <c r="F15" s="93"/>
      <c r="G15" s="93"/>
      <c r="H15" s="93"/>
      <c r="I15" s="93"/>
      <c r="J15" s="93"/>
      <c r="K15" s="93"/>
    </row>
    <row r="16" spans="1:11" s="1" customFormat="1" ht="37.5" customHeight="1">
      <c r="A16" s="94" t="s">
        <v>95</v>
      </c>
      <c r="B16" s="152" t="s">
        <v>107</v>
      </c>
      <c r="C16" s="152"/>
      <c r="D16" s="152"/>
      <c r="E16" s="152"/>
      <c r="F16" s="152"/>
      <c r="G16" s="152"/>
      <c r="H16" s="152"/>
      <c r="I16" s="152"/>
      <c r="J16" s="152"/>
      <c r="K16" s="152"/>
    </row>
    <row r="17" spans="2:11" ht="55.5" customHeight="1">
      <c r="B17" s="153" t="s">
        <v>108</v>
      </c>
      <c r="C17" s="153"/>
      <c r="D17" s="153"/>
      <c r="E17" s="153"/>
      <c r="F17" s="153"/>
      <c r="G17" s="153"/>
      <c r="H17" s="153"/>
      <c r="I17" s="153"/>
      <c r="J17" s="153"/>
      <c r="K17" s="153"/>
    </row>
    <row r="18" spans="1:2" ht="14.25" customHeight="1">
      <c r="A18" s="2" t="s">
        <v>96</v>
      </c>
      <c r="B18" s="2" t="s">
        <v>97</v>
      </c>
    </row>
    <row r="19" spans="1:2" ht="11.25">
      <c r="A19" s="90" t="s">
        <v>98</v>
      </c>
      <c r="B19" s="2" t="s">
        <v>99</v>
      </c>
    </row>
  </sheetData>
  <sheetProtection/>
  <mergeCells count="15">
    <mergeCell ref="A1:K1"/>
    <mergeCell ref="A3:K3"/>
    <mergeCell ref="A4:B5"/>
    <mergeCell ref="C4:E4"/>
    <mergeCell ref="F4:H4"/>
    <mergeCell ref="I4:K4"/>
    <mergeCell ref="C5:D5"/>
    <mergeCell ref="F5:G5"/>
    <mergeCell ref="I5:J5"/>
    <mergeCell ref="A7:A10"/>
    <mergeCell ref="A11:A12"/>
    <mergeCell ref="A13:B13"/>
    <mergeCell ref="A14:B14"/>
    <mergeCell ref="B16:K16"/>
    <mergeCell ref="B17:K17"/>
  </mergeCells>
  <printOptions horizontalCentered="1"/>
  <pageMargins left="0.8267716535433072" right="0.4330708661417323" top="0.984251968503937" bottom="0.984251968503937" header="0.5118110236220472" footer="0.5118110236220472"/>
  <pageSetup horizontalDpi="600" verticalDpi="600" orientation="portrait" paperSize="9" scale="90" r:id="rId1"/>
  <headerFooter alignWithMargins="0">
    <oddFooter>&amp;R&amp;9札幌国税局　
消費税
（H27）</oddFooter>
  </headerFooter>
</worksheet>
</file>

<file path=xl/worksheets/sheet2.xml><?xml version="1.0" encoding="utf-8"?>
<worksheet xmlns="http://schemas.openxmlformats.org/spreadsheetml/2006/main" xmlns:r="http://schemas.openxmlformats.org/officeDocument/2006/relationships">
  <dimension ref="A1:H22"/>
  <sheetViews>
    <sheetView showGridLines="0" view="pageBreakPreview" zoomScale="85" zoomScaleSheetLayoutView="85" workbookViewId="0" topLeftCell="A1">
      <selection activeCell="A1" sqref="A1"/>
    </sheetView>
  </sheetViews>
  <sheetFormatPr defaultColWidth="9.140625" defaultRowHeight="15"/>
  <cols>
    <col min="1" max="1" width="10.57421875" style="3" customWidth="1"/>
    <col min="2" max="2" width="15.57421875" style="3" customWidth="1"/>
    <col min="3" max="3" width="8.57421875" style="3" customWidth="1"/>
    <col min="4" max="4" width="10.57421875" style="3" customWidth="1"/>
    <col min="5" max="5" width="8.57421875" style="3" customWidth="1"/>
    <col min="6" max="6" width="12.8515625" style="3" bestFit="1" customWidth="1"/>
    <col min="7" max="7" width="8.57421875" style="3" customWidth="1"/>
    <col min="8" max="8" width="12.8515625" style="3" bestFit="1" customWidth="1"/>
    <col min="9" max="16384" width="9.00390625" style="3" customWidth="1"/>
  </cols>
  <sheetData>
    <row r="1" s="2" customFormat="1" ht="12" thickBot="1">
      <c r="A1" s="2" t="s">
        <v>71</v>
      </c>
    </row>
    <row r="2" spans="1:8" s="2" customFormat="1" ht="15" customHeight="1">
      <c r="A2" s="156" t="s">
        <v>63</v>
      </c>
      <c r="B2" s="157"/>
      <c r="C2" s="168" t="s">
        <v>62</v>
      </c>
      <c r="D2" s="168"/>
      <c r="E2" s="168" t="s">
        <v>70</v>
      </c>
      <c r="F2" s="168"/>
      <c r="G2" s="169" t="s">
        <v>69</v>
      </c>
      <c r="H2" s="170"/>
    </row>
    <row r="3" spans="1:8" s="2" customFormat="1" ht="15" customHeight="1">
      <c r="A3" s="158"/>
      <c r="B3" s="159"/>
      <c r="C3" s="89" t="s">
        <v>68</v>
      </c>
      <c r="D3" s="59" t="s">
        <v>67</v>
      </c>
      <c r="E3" s="89" t="s">
        <v>68</v>
      </c>
      <c r="F3" s="75" t="s">
        <v>67</v>
      </c>
      <c r="G3" s="89" t="s">
        <v>68</v>
      </c>
      <c r="H3" s="74" t="s">
        <v>67</v>
      </c>
    </row>
    <row r="4" spans="1:8" s="69" customFormat="1" ht="15" customHeight="1">
      <c r="A4" s="73"/>
      <c r="B4" s="59"/>
      <c r="C4" s="71" t="s">
        <v>7</v>
      </c>
      <c r="D4" s="72" t="s">
        <v>8</v>
      </c>
      <c r="E4" s="71" t="s">
        <v>7</v>
      </c>
      <c r="F4" s="72" t="s">
        <v>8</v>
      </c>
      <c r="G4" s="71" t="s">
        <v>7</v>
      </c>
      <c r="H4" s="70" t="s">
        <v>8</v>
      </c>
    </row>
    <row r="5" spans="1:8" s="64" customFormat="1" ht="30" customHeight="1">
      <c r="A5" s="171" t="s">
        <v>76</v>
      </c>
      <c r="B5" s="53" t="s">
        <v>66</v>
      </c>
      <c r="C5" s="68">
        <v>53659</v>
      </c>
      <c r="D5" s="52">
        <v>16105186</v>
      </c>
      <c r="E5" s="68">
        <v>79023</v>
      </c>
      <c r="F5" s="52">
        <v>224434071</v>
      </c>
      <c r="G5" s="68">
        <v>132682</v>
      </c>
      <c r="H5" s="51">
        <v>240539257</v>
      </c>
    </row>
    <row r="6" spans="1:8" s="64" customFormat="1" ht="30" customHeight="1">
      <c r="A6" s="172"/>
      <c r="B6" s="46" t="s">
        <v>1</v>
      </c>
      <c r="C6" s="66">
        <v>2636</v>
      </c>
      <c r="D6" s="67">
        <v>862756</v>
      </c>
      <c r="E6" s="66">
        <v>3149</v>
      </c>
      <c r="F6" s="67">
        <v>9275797</v>
      </c>
      <c r="G6" s="66">
        <v>5785</v>
      </c>
      <c r="H6" s="65">
        <v>10138553</v>
      </c>
    </row>
    <row r="7" spans="1:8" s="64" customFormat="1" ht="30" customHeight="1">
      <c r="A7" s="173" t="s">
        <v>105</v>
      </c>
      <c r="B7" s="63" t="s">
        <v>66</v>
      </c>
      <c r="C7" s="62">
        <v>51190</v>
      </c>
      <c r="D7" s="43">
        <v>15880012</v>
      </c>
      <c r="E7" s="62">
        <v>78039</v>
      </c>
      <c r="F7" s="43">
        <v>220012892</v>
      </c>
      <c r="G7" s="62">
        <v>129229</v>
      </c>
      <c r="H7" s="41">
        <v>235892904</v>
      </c>
    </row>
    <row r="8" spans="1:8" s="64" customFormat="1" ht="30" customHeight="1">
      <c r="A8" s="174"/>
      <c r="B8" s="46" t="s">
        <v>1</v>
      </c>
      <c r="C8" s="66">
        <v>2557</v>
      </c>
      <c r="D8" s="67">
        <v>945236</v>
      </c>
      <c r="E8" s="66">
        <v>3225</v>
      </c>
      <c r="F8" s="67">
        <v>11596755</v>
      </c>
      <c r="G8" s="66">
        <v>5782</v>
      </c>
      <c r="H8" s="65">
        <v>12541991</v>
      </c>
    </row>
    <row r="9" spans="1:8" s="64" customFormat="1" ht="30" customHeight="1">
      <c r="A9" s="171" t="s">
        <v>94</v>
      </c>
      <c r="B9" s="63" t="s">
        <v>66</v>
      </c>
      <c r="C9" s="62">
        <v>51090</v>
      </c>
      <c r="D9" s="43">
        <v>16411971</v>
      </c>
      <c r="E9" s="62">
        <v>77584</v>
      </c>
      <c r="F9" s="43">
        <v>223772529</v>
      </c>
      <c r="G9" s="62">
        <v>128674</v>
      </c>
      <c r="H9" s="41">
        <v>240184500</v>
      </c>
    </row>
    <row r="10" spans="1:8" s="64" customFormat="1" ht="30" customHeight="1">
      <c r="A10" s="172"/>
      <c r="B10" s="46" t="s">
        <v>1</v>
      </c>
      <c r="C10" s="66">
        <v>3008</v>
      </c>
      <c r="D10" s="67">
        <v>1100427</v>
      </c>
      <c r="E10" s="66">
        <v>3411</v>
      </c>
      <c r="F10" s="67">
        <v>12767214</v>
      </c>
      <c r="G10" s="66">
        <v>6419</v>
      </c>
      <c r="H10" s="65">
        <v>13867641</v>
      </c>
    </row>
    <row r="11" spans="1:8" s="64" customFormat="1" ht="30" customHeight="1">
      <c r="A11" s="173" t="s">
        <v>106</v>
      </c>
      <c r="B11" s="63" t="s">
        <v>66</v>
      </c>
      <c r="C11" s="62">
        <v>52046</v>
      </c>
      <c r="D11" s="43">
        <v>24117398</v>
      </c>
      <c r="E11" s="62">
        <v>77560</v>
      </c>
      <c r="F11" s="43">
        <v>329569391</v>
      </c>
      <c r="G11" s="62">
        <v>129606</v>
      </c>
      <c r="H11" s="41">
        <v>353686789</v>
      </c>
    </row>
    <row r="12" spans="1:8" s="64" customFormat="1" ht="30" customHeight="1">
      <c r="A12" s="174"/>
      <c r="B12" s="46" t="s">
        <v>1</v>
      </c>
      <c r="C12" s="66">
        <v>2353</v>
      </c>
      <c r="D12" s="67">
        <v>1290318</v>
      </c>
      <c r="E12" s="66">
        <v>3503</v>
      </c>
      <c r="F12" s="67">
        <v>21659435</v>
      </c>
      <c r="G12" s="66">
        <v>5856</v>
      </c>
      <c r="H12" s="65">
        <v>22949753</v>
      </c>
    </row>
    <row r="13" spans="1:8" s="2" customFormat="1" ht="30" customHeight="1">
      <c r="A13" s="166" t="s">
        <v>109</v>
      </c>
      <c r="B13" s="63" t="s">
        <v>66</v>
      </c>
      <c r="C13" s="62">
        <v>51395</v>
      </c>
      <c r="D13" s="43">
        <v>27257518</v>
      </c>
      <c r="E13" s="62">
        <v>77807</v>
      </c>
      <c r="F13" s="43">
        <v>380332297</v>
      </c>
      <c r="G13" s="62">
        <v>129202</v>
      </c>
      <c r="H13" s="41">
        <v>407589815</v>
      </c>
    </row>
    <row r="14" spans="1:8" s="2" customFormat="1" ht="30" customHeight="1" thickBot="1">
      <c r="A14" s="167"/>
      <c r="B14" s="61" t="s">
        <v>1</v>
      </c>
      <c r="C14" s="118">
        <v>2688</v>
      </c>
      <c r="D14" s="119">
        <v>1536860</v>
      </c>
      <c r="E14" s="118">
        <v>3591</v>
      </c>
      <c r="F14" s="119">
        <v>21235798</v>
      </c>
      <c r="G14" s="118">
        <v>6279</v>
      </c>
      <c r="H14" s="120">
        <v>22772658</v>
      </c>
    </row>
    <row r="15" spans="5:7" s="2" customFormat="1" ht="11.25">
      <c r="E15" s="60"/>
      <c r="G15" s="60"/>
    </row>
    <row r="16" spans="5:7" s="2" customFormat="1" ht="11.25">
      <c r="E16" s="60"/>
      <c r="G16" s="60"/>
    </row>
    <row r="17" spans="5:7" s="2" customFormat="1" ht="11.25">
      <c r="E17" s="60"/>
      <c r="G17" s="60"/>
    </row>
    <row r="18" spans="5:7" s="2" customFormat="1" ht="11.25">
      <c r="E18" s="60"/>
      <c r="G18" s="60"/>
    </row>
    <row r="19" spans="5:7" s="2" customFormat="1" ht="11.25">
      <c r="E19" s="60"/>
      <c r="G19" s="60"/>
    </row>
    <row r="20" spans="5:7" s="2" customFormat="1" ht="11.25">
      <c r="E20" s="60"/>
      <c r="G20" s="60"/>
    </row>
    <row r="21" spans="5:7" s="2" customFormat="1" ht="11.25">
      <c r="E21" s="60"/>
      <c r="G21" s="60"/>
    </row>
    <row r="22" spans="5:7" s="2" customFormat="1" ht="11.25">
      <c r="E22" s="60"/>
      <c r="G22" s="60"/>
    </row>
  </sheetData>
  <sheetProtection/>
  <mergeCells count="9">
    <mergeCell ref="A13:A14"/>
    <mergeCell ref="A2:B3"/>
    <mergeCell ref="C2:D2"/>
    <mergeCell ref="E2:F2"/>
    <mergeCell ref="G2:H2"/>
    <mergeCell ref="A5:A6"/>
    <mergeCell ref="A7:A8"/>
    <mergeCell ref="A9:A10"/>
    <mergeCell ref="A11:A12"/>
  </mergeCells>
  <printOptions horizontalCentered="1"/>
  <pageMargins left="0.8267716535433072" right="0.4330708661417323" top="0.984251968503937" bottom="0.984251968503937" header="0.5118110236220472" footer="0.5118110236220472"/>
  <pageSetup horizontalDpi="600" verticalDpi="600" orientation="portrait" paperSize="9" scale="90" r:id="rId1"/>
  <headerFooter alignWithMargins="0">
    <oddFooter>&amp;R&amp;9札幌国税局　
消費税
（H27）</oddFooter>
  </headerFooter>
  <colBreaks count="1" manualBreakCount="1">
    <brk id="8" max="13" man="1"/>
  </colBreaks>
</worksheet>
</file>

<file path=xl/worksheets/sheet3.xml><?xml version="1.0" encoding="utf-8"?>
<worksheet xmlns="http://schemas.openxmlformats.org/spreadsheetml/2006/main" xmlns:r="http://schemas.openxmlformats.org/officeDocument/2006/relationships">
  <dimension ref="A1:I7"/>
  <sheetViews>
    <sheetView showGridLines="0" view="pageBreakPreview" zoomScale="85" zoomScaleSheetLayoutView="85" zoomScalePageLayoutView="0" workbookViewId="0" topLeftCell="A1">
      <selection activeCell="A1" sqref="A1"/>
    </sheetView>
  </sheetViews>
  <sheetFormatPr defaultColWidth="9.140625" defaultRowHeight="15"/>
  <cols>
    <col min="1" max="2" width="18.57421875" style="3" customWidth="1"/>
    <col min="3" max="3" width="23.57421875" style="3" customWidth="1"/>
    <col min="4" max="4" width="18.57421875" style="3" customWidth="1"/>
    <col min="5" max="5" width="3.140625" style="3" customWidth="1"/>
    <col min="6" max="16384" width="9.00390625" style="3" customWidth="1"/>
  </cols>
  <sheetData>
    <row r="1" s="69" customFormat="1" ht="15" customHeight="1" thickBot="1">
      <c r="A1" s="69" t="s">
        <v>72</v>
      </c>
    </row>
    <row r="2" spans="1:4" s="1" customFormat="1" ht="19.5" customHeight="1">
      <c r="A2" s="76" t="s">
        <v>73</v>
      </c>
      <c r="B2" s="77" t="s">
        <v>74</v>
      </c>
      <c r="C2" s="78" t="s">
        <v>75</v>
      </c>
      <c r="D2" s="79" t="s">
        <v>93</v>
      </c>
    </row>
    <row r="3" spans="1:4" s="69" customFormat="1" ht="15" customHeight="1">
      <c r="A3" s="80" t="s">
        <v>7</v>
      </c>
      <c r="B3" s="81" t="s">
        <v>7</v>
      </c>
      <c r="C3" s="82" t="s">
        <v>7</v>
      </c>
      <c r="D3" s="83" t="s">
        <v>7</v>
      </c>
    </row>
    <row r="4" spans="1:9" s="1" customFormat="1" ht="30" customHeight="1" thickBot="1">
      <c r="A4" s="121">
        <v>137138</v>
      </c>
      <c r="B4" s="122">
        <v>3842</v>
      </c>
      <c r="C4" s="123">
        <v>329</v>
      </c>
      <c r="D4" s="124">
        <v>141309</v>
      </c>
      <c r="E4" s="84"/>
      <c r="G4" s="84"/>
      <c r="I4" s="84"/>
    </row>
    <row r="5" spans="1:9" s="98" customFormat="1" ht="3" customHeight="1">
      <c r="A5" s="96"/>
      <c r="B5" s="96"/>
      <c r="C5" s="96"/>
      <c r="D5" s="96"/>
      <c r="E5" s="97"/>
      <c r="G5" s="97"/>
      <c r="I5" s="97"/>
    </row>
    <row r="6" spans="1:4" s="1" customFormat="1" ht="15" customHeight="1">
      <c r="A6" s="175" t="s">
        <v>110</v>
      </c>
      <c r="B6" s="175"/>
      <c r="C6" s="175"/>
      <c r="D6" s="175"/>
    </row>
    <row r="7" spans="1:5" s="1" customFormat="1" ht="15" customHeight="1">
      <c r="A7" s="176" t="s">
        <v>92</v>
      </c>
      <c r="B7" s="176"/>
      <c r="C7" s="176"/>
      <c r="D7" s="176"/>
      <c r="E7" s="176"/>
    </row>
  </sheetData>
  <sheetProtection/>
  <mergeCells count="2">
    <mergeCell ref="A6:D6"/>
    <mergeCell ref="A7:E7"/>
  </mergeCells>
  <printOptions horizontalCentered="1"/>
  <pageMargins left="0.8267716535433072" right="0.4330708661417323" top="0.984251968503937" bottom="0.984251968503937" header="0.5118110236220472" footer="0.5118110236220472"/>
  <pageSetup horizontalDpi="600" verticalDpi="600" orientation="portrait" paperSize="9" scale="90" r:id="rId1"/>
  <headerFooter alignWithMargins="0">
    <oddFooter>&amp;R&amp;9札幌国税局　
消費税
（H27）</oddFooter>
  </headerFooter>
</worksheet>
</file>

<file path=xl/worksheets/sheet4.xml><?xml version="1.0" encoding="utf-8"?>
<worksheet xmlns="http://schemas.openxmlformats.org/spreadsheetml/2006/main" xmlns:r="http://schemas.openxmlformats.org/officeDocument/2006/relationships">
  <dimension ref="A1:N53"/>
  <sheetViews>
    <sheetView view="pageBreakPreview" zoomScale="85" zoomScaleSheetLayoutView="85" zoomScalePageLayoutView="0" workbookViewId="0" topLeftCell="A1">
      <selection activeCell="A1" sqref="A1"/>
    </sheetView>
  </sheetViews>
  <sheetFormatPr defaultColWidth="9.140625" defaultRowHeight="15"/>
  <cols>
    <col min="1" max="1" width="12.28125" style="3" customWidth="1"/>
    <col min="2" max="2" width="8.57421875" style="3" customWidth="1"/>
    <col min="3" max="3" width="11.57421875" style="3" customWidth="1"/>
    <col min="4" max="4" width="8.57421875" style="3" customWidth="1"/>
    <col min="5" max="5" width="11.57421875" style="3" customWidth="1"/>
    <col min="6" max="6" width="8.57421875" style="3" customWidth="1"/>
    <col min="7" max="7" width="11.57421875" style="3" customWidth="1"/>
    <col min="8" max="8" width="8.57421875" style="3" customWidth="1"/>
    <col min="9" max="9" width="11.57421875" style="3" customWidth="1"/>
    <col min="10" max="10" width="8.57421875" style="3" customWidth="1"/>
    <col min="11" max="11" width="11.57421875" style="3" customWidth="1"/>
    <col min="12" max="12" width="10.57421875" style="3" customWidth="1"/>
    <col min="13" max="13" width="12.57421875" style="3" customWidth="1"/>
    <col min="14" max="14" width="12.28125" style="3" customWidth="1"/>
    <col min="15" max="16384" width="9.00390625" style="3" customWidth="1"/>
  </cols>
  <sheetData>
    <row r="1" spans="1:14" ht="13.5">
      <c r="A1" s="1" t="s">
        <v>100</v>
      </c>
      <c r="B1" s="1"/>
      <c r="C1" s="1"/>
      <c r="D1" s="1"/>
      <c r="E1" s="1"/>
      <c r="F1" s="1"/>
      <c r="G1" s="1"/>
      <c r="H1" s="2"/>
      <c r="I1" s="2"/>
      <c r="J1" s="2"/>
      <c r="K1" s="2"/>
      <c r="L1" s="2"/>
      <c r="M1" s="2"/>
      <c r="N1" s="2"/>
    </row>
    <row r="2" spans="1:14" ht="14.25" thickBot="1">
      <c r="A2" s="176" t="s">
        <v>0</v>
      </c>
      <c r="B2" s="176"/>
      <c r="C2" s="176"/>
      <c r="D2" s="176"/>
      <c r="E2" s="176"/>
      <c r="F2" s="176"/>
      <c r="G2" s="176"/>
      <c r="H2" s="2"/>
      <c r="I2" s="2"/>
      <c r="J2" s="2"/>
      <c r="K2" s="2"/>
      <c r="L2" s="2"/>
      <c r="M2" s="2"/>
      <c r="N2" s="2"/>
    </row>
    <row r="3" spans="1:14" ht="19.5" customHeight="1">
      <c r="A3" s="177" t="s">
        <v>77</v>
      </c>
      <c r="B3" s="180" t="s">
        <v>82</v>
      </c>
      <c r="C3" s="180"/>
      <c r="D3" s="180"/>
      <c r="E3" s="180"/>
      <c r="F3" s="180"/>
      <c r="G3" s="180"/>
      <c r="H3" s="181" t="s">
        <v>1</v>
      </c>
      <c r="I3" s="182"/>
      <c r="J3" s="192" t="s">
        <v>2</v>
      </c>
      <c r="K3" s="182"/>
      <c r="L3" s="181" t="s">
        <v>3</v>
      </c>
      <c r="M3" s="182"/>
      <c r="N3" s="185" t="s">
        <v>4</v>
      </c>
    </row>
    <row r="4" spans="1:14" ht="17.25" customHeight="1">
      <c r="A4" s="178"/>
      <c r="B4" s="188" t="s">
        <v>78</v>
      </c>
      <c r="C4" s="188"/>
      <c r="D4" s="189" t="s">
        <v>5</v>
      </c>
      <c r="E4" s="190"/>
      <c r="F4" s="183" t="s">
        <v>6</v>
      </c>
      <c r="G4" s="191"/>
      <c r="H4" s="183"/>
      <c r="I4" s="184"/>
      <c r="J4" s="183"/>
      <c r="K4" s="184"/>
      <c r="L4" s="183"/>
      <c r="M4" s="184"/>
      <c r="N4" s="186"/>
    </row>
    <row r="5" spans="1:14" s="4" customFormat="1" ht="28.5" customHeight="1">
      <c r="A5" s="179"/>
      <c r="B5" s="86" t="s">
        <v>79</v>
      </c>
      <c r="C5" s="26" t="s">
        <v>80</v>
      </c>
      <c r="D5" s="86" t="s">
        <v>101</v>
      </c>
      <c r="E5" s="26" t="s">
        <v>102</v>
      </c>
      <c r="F5" s="86" t="s">
        <v>79</v>
      </c>
      <c r="G5" s="26" t="s">
        <v>81</v>
      </c>
      <c r="H5" s="86" t="s">
        <v>79</v>
      </c>
      <c r="I5" s="27" t="s">
        <v>83</v>
      </c>
      <c r="J5" s="86" t="s">
        <v>79</v>
      </c>
      <c r="K5" s="27" t="s">
        <v>84</v>
      </c>
      <c r="L5" s="25" t="s">
        <v>79</v>
      </c>
      <c r="M5" s="28" t="s">
        <v>85</v>
      </c>
      <c r="N5" s="187"/>
    </row>
    <row r="6" spans="1:14" s="10" customFormat="1" ht="10.5">
      <c r="A6" s="5"/>
      <c r="B6" s="6" t="s">
        <v>7</v>
      </c>
      <c r="C6" s="7" t="s">
        <v>8</v>
      </c>
      <c r="D6" s="6" t="s">
        <v>7</v>
      </c>
      <c r="E6" s="7" t="s">
        <v>8</v>
      </c>
      <c r="F6" s="6" t="s">
        <v>7</v>
      </c>
      <c r="G6" s="7" t="s">
        <v>8</v>
      </c>
      <c r="H6" s="6" t="s">
        <v>7</v>
      </c>
      <c r="I6" s="8" t="s">
        <v>8</v>
      </c>
      <c r="J6" s="6" t="s">
        <v>7</v>
      </c>
      <c r="K6" s="8" t="s">
        <v>8</v>
      </c>
      <c r="L6" s="6" t="s">
        <v>7</v>
      </c>
      <c r="M6" s="8" t="s">
        <v>8</v>
      </c>
      <c r="N6" s="9"/>
    </row>
    <row r="7" spans="1:14" ht="18.75" customHeight="1">
      <c r="A7" s="11" t="s">
        <v>9</v>
      </c>
      <c r="B7" s="125">
        <f>_xlfn.COMPOUNDVALUE(1)</f>
        <v>353</v>
      </c>
      <c r="C7" s="126">
        <v>269166</v>
      </c>
      <c r="D7" s="125">
        <f>_xlfn.COMPOUNDVALUE(2)</f>
        <v>365</v>
      </c>
      <c r="E7" s="126">
        <v>212850</v>
      </c>
      <c r="F7" s="125">
        <f>_xlfn.COMPOUNDVALUE(3)</f>
        <v>718</v>
      </c>
      <c r="G7" s="126">
        <v>482017</v>
      </c>
      <c r="H7" s="125">
        <f>_xlfn.COMPOUNDVALUE(4)</f>
        <v>18</v>
      </c>
      <c r="I7" s="127">
        <v>4629</v>
      </c>
      <c r="J7" s="125">
        <v>109</v>
      </c>
      <c r="K7" s="127">
        <v>24744</v>
      </c>
      <c r="L7" s="125">
        <v>779</v>
      </c>
      <c r="M7" s="127">
        <v>502132</v>
      </c>
      <c r="N7" s="12" t="s">
        <v>9</v>
      </c>
    </row>
    <row r="8" spans="1:14" ht="18.75" customHeight="1">
      <c r="A8" s="11" t="s">
        <v>10</v>
      </c>
      <c r="B8" s="125">
        <f>_xlfn.COMPOUNDVALUE(5)</f>
        <v>1108</v>
      </c>
      <c r="C8" s="126">
        <v>597242</v>
      </c>
      <c r="D8" s="125">
        <f>_xlfn.COMPOUNDVALUE(6)</f>
        <v>1815</v>
      </c>
      <c r="E8" s="126">
        <v>722140</v>
      </c>
      <c r="F8" s="125">
        <f>_xlfn.COMPOUNDVALUE(7)</f>
        <v>2923</v>
      </c>
      <c r="G8" s="126">
        <v>1319382</v>
      </c>
      <c r="H8" s="125">
        <f>_xlfn.COMPOUNDVALUE(8)</f>
        <v>144</v>
      </c>
      <c r="I8" s="127">
        <v>54768</v>
      </c>
      <c r="J8" s="125">
        <v>357</v>
      </c>
      <c r="K8" s="127">
        <v>67590</v>
      </c>
      <c r="L8" s="125">
        <v>3269</v>
      </c>
      <c r="M8" s="127">
        <v>1332203</v>
      </c>
      <c r="N8" s="12" t="s">
        <v>10</v>
      </c>
    </row>
    <row r="9" spans="1:14" ht="18.75" customHeight="1">
      <c r="A9" s="11" t="s">
        <v>11</v>
      </c>
      <c r="B9" s="125">
        <f>_xlfn.COMPOUNDVALUE(9)</f>
        <v>1008</v>
      </c>
      <c r="C9" s="126">
        <v>566273</v>
      </c>
      <c r="D9" s="125">
        <f>_xlfn.COMPOUNDVALUE(10)</f>
        <v>1533</v>
      </c>
      <c r="E9" s="126">
        <v>678167</v>
      </c>
      <c r="F9" s="125">
        <f>_xlfn.COMPOUNDVALUE(11)</f>
        <v>2541</v>
      </c>
      <c r="G9" s="126">
        <v>1244439</v>
      </c>
      <c r="H9" s="125">
        <f>_xlfn.COMPOUNDVALUE(12)</f>
        <v>75</v>
      </c>
      <c r="I9" s="127">
        <v>60192</v>
      </c>
      <c r="J9" s="125">
        <v>299</v>
      </c>
      <c r="K9" s="127">
        <v>80136</v>
      </c>
      <c r="L9" s="125">
        <v>2756</v>
      </c>
      <c r="M9" s="127">
        <v>1264383</v>
      </c>
      <c r="N9" s="12" t="s">
        <v>11</v>
      </c>
    </row>
    <row r="10" spans="1:14" ht="18.75" customHeight="1">
      <c r="A10" s="11" t="s">
        <v>12</v>
      </c>
      <c r="B10" s="125">
        <f>_xlfn.COMPOUNDVALUE(13)</f>
        <v>1076</v>
      </c>
      <c r="C10" s="126">
        <v>764009</v>
      </c>
      <c r="D10" s="125">
        <f>_xlfn.COMPOUNDVALUE(14)</f>
        <v>1380</v>
      </c>
      <c r="E10" s="126">
        <v>681835</v>
      </c>
      <c r="F10" s="125">
        <f>_xlfn.COMPOUNDVALUE(15)</f>
        <v>2456</v>
      </c>
      <c r="G10" s="126">
        <v>1445845</v>
      </c>
      <c r="H10" s="125">
        <f>_xlfn.COMPOUNDVALUE(16)</f>
        <v>63</v>
      </c>
      <c r="I10" s="127">
        <v>62353</v>
      </c>
      <c r="J10" s="125">
        <v>222</v>
      </c>
      <c r="K10" s="127">
        <v>63677</v>
      </c>
      <c r="L10" s="125">
        <v>2638</v>
      </c>
      <c r="M10" s="127">
        <v>1447168</v>
      </c>
      <c r="N10" s="12" t="s">
        <v>12</v>
      </c>
    </row>
    <row r="11" spans="1:14" ht="18.75" customHeight="1">
      <c r="A11" s="11" t="s">
        <v>13</v>
      </c>
      <c r="B11" s="125">
        <f>_xlfn.COMPOUNDVALUE(17)</f>
        <v>663</v>
      </c>
      <c r="C11" s="126">
        <v>375760</v>
      </c>
      <c r="D11" s="125">
        <f>_xlfn.COMPOUNDVALUE(18)</f>
        <v>1021</v>
      </c>
      <c r="E11" s="126">
        <v>415232</v>
      </c>
      <c r="F11" s="125">
        <f>_xlfn.COMPOUNDVALUE(19)</f>
        <v>1684</v>
      </c>
      <c r="G11" s="126">
        <v>790992</v>
      </c>
      <c r="H11" s="125">
        <f>_xlfn.COMPOUNDVALUE(20)</f>
        <v>44</v>
      </c>
      <c r="I11" s="127">
        <v>37009</v>
      </c>
      <c r="J11" s="125">
        <v>165</v>
      </c>
      <c r="K11" s="127">
        <v>26237</v>
      </c>
      <c r="L11" s="125">
        <v>1823</v>
      </c>
      <c r="M11" s="127">
        <v>780220</v>
      </c>
      <c r="N11" s="12" t="s">
        <v>13</v>
      </c>
    </row>
    <row r="12" spans="1:14" ht="18.75" customHeight="1">
      <c r="A12" s="11" t="s">
        <v>86</v>
      </c>
      <c r="B12" s="125">
        <f>_xlfn.COMPOUNDVALUE(21)</f>
        <v>1001</v>
      </c>
      <c r="C12" s="126">
        <v>560697</v>
      </c>
      <c r="D12" s="125">
        <f>_xlfn.COMPOUNDVALUE(22)</f>
        <v>2433</v>
      </c>
      <c r="E12" s="126">
        <v>909619</v>
      </c>
      <c r="F12" s="125">
        <f>_xlfn.COMPOUNDVALUE(23)</f>
        <v>3434</v>
      </c>
      <c r="G12" s="126">
        <v>1470316</v>
      </c>
      <c r="H12" s="125">
        <f>_xlfn.COMPOUNDVALUE(24)</f>
        <v>29</v>
      </c>
      <c r="I12" s="127">
        <v>14157</v>
      </c>
      <c r="J12" s="125">
        <v>183</v>
      </c>
      <c r="K12" s="127">
        <v>26468</v>
      </c>
      <c r="L12" s="125">
        <v>3544</v>
      </c>
      <c r="M12" s="127">
        <v>1482626</v>
      </c>
      <c r="N12" s="12" t="s">
        <v>86</v>
      </c>
    </row>
    <row r="13" spans="1:14" ht="18.75" customHeight="1">
      <c r="A13" s="11" t="s">
        <v>14</v>
      </c>
      <c r="B13" s="125">
        <f>_xlfn.COMPOUNDVALUE(25)</f>
        <v>240</v>
      </c>
      <c r="C13" s="126">
        <v>104505</v>
      </c>
      <c r="D13" s="125">
        <f>_xlfn.COMPOUNDVALUE(26)</f>
        <v>362</v>
      </c>
      <c r="E13" s="126">
        <v>124740</v>
      </c>
      <c r="F13" s="125">
        <f>_xlfn.COMPOUNDVALUE(27)</f>
        <v>602</v>
      </c>
      <c r="G13" s="126">
        <v>229245</v>
      </c>
      <c r="H13" s="125">
        <f>_xlfn.COMPOUNDVALUE(28)</f>
        <v>18</v>
      </c>
      <c r="I13" s="127">
        <v>6661</v>
      </c>
      <c r="J13" s="125">
        <v>73</v>
      </c>
      <c r="K13" s="127">
        <v>7484</v>
      </c>
      <c r="L13" s="125">
        <v>644</v>
      </c>
      <c r="M13" s="127">
        <v>230068</v>
      </c>
      <c r="N13" s="12" t="s">
        <v>14</v>
      </c>
    </row>
    <row r="14" spans="1:14" ht="18.75" customHeight="1">
      <c r="A14" s="11" t="s">
        <v>15</v>
      </c>
      <c r="B14" s="125">
        <f>_xlfn.COMPOUNDVALUE(29)</f>
        <v>278</v>
      </c>
      <c r="C14" s="126">
        <v>148022</v>
      </c>
      <c r="D14" s="125">
        <f>_xlfn.COMPOUNDVALUE(30)</f>
        <v>644</v>
      </c>
      <c r="E14" s="126">
        <v>265971</v>
      </c>
      <c r="F14" s="125">
        <f>_xlfn.COMPOUNDVALUE(31)</f>
        <v>922</v>
      </c>
      <c r="G14" s="126">
        <v>413993</v>
      </c>
      <c r="H14" s="125">
        <f>_xlfn.COMPOUNDVALUE(32)</f>
        <v>14</v>
      </c>
      <c r="I14" s="127">
        <v>6860</v>
      </c>
      <c r="J14" s="125">
        <v>47</v>
      </c>
      <c r="K14" s="127">
        <v>6753</v>
      </c>
      <c r="L14" s="125">
        <v>954</v>
      </c>
      <c r="M14" s="127">
        <v>413885</v>
      </c>
      <c r="N14" s="12" t="s">
        <v>15</v>
      </c>
    </row>
    <row r="15" spans="1:14" ht="18.75" customHeight="1">
      <c r="A15" s="11" t="s">
        <v>16</v>
      </c>
      <c r="B15" s="125">
        <f>_xlfn.COMPOUNDVALUE(33)</f>
        <v>717</v>
      </c>
      <c r="C15" s="126">
        <v>369228</v>
      </c>
      <c r="D15" s="125">
        <f>_xlfn.COMPOUNDVALUE(34)</f>
        <v>1604</v>
      </c>
      <c r="E15" s="126">
        <v>555416</v>
      </c>
      <c r="F15" s="125">
        <f>_xlfn.COMPOUNDVALUE(35)</f>
        <v>2321</v>
      </c>
      <c r="G15" s="126">
        <v>924644</v>
      </c>
      <c r="H15" s="125">
        <f>_xlfn.COMPOUNDVALUE(36)</f>
        <v>63</v>
      </c>
      <c r="I15" s="127">
        <v>23231</v>
      </c>
      <c r="J15" s="125">
        <v>225</v>
      </c>
      <c r="K15" s="127">
        <v>41254</v>
      </c>
      <c r="L15" s="125">
        <v>2440</v>
      </c>
      <c r="M15" s="127">
        <v>942667</v>
      </c>
      <c r="N15" s="12" t="s">
        <v>16</v>
      </c>
    </row>
    <row r="16" spans="1:14" ht="18.75" customHeight="1">
      <c r="A16" s="11" t="s">
        <v>17</v>
      </c>
      <c r="B16" s="125">
        <f>_xlfn.COMPOUNDVALUE(37)</f>
        <v>368</v>
      </c>
      <c r="C16" s="126">
        <v>215390</v>
      </c>
      <c r="D16" s="125">
        <f>_xlfn.COMPOUNDVALUE(38)</f>
        <v>949</v>
      </c>
      <c r="E16" s="126">
        <v>415320</v>
      </c>
      <c r="F16" s="125">
        <f>_xlfn.COMPOUNDVALUE(39)</f>
        <v>1317</v>
      </c>
      <c r="G16" s="126">
        <v>630709</v>
      </c>
      <c r="H16" s="125">
        <f>_xlfn.COMPOUNDVALUE(40)</f>
        <v>14</v>
      </c>
      <c r="I16" s="127">
        <v>9388</v>
      </c>
      <c r="J16" s="125">
        <v>110</v>
      </c>
      <c r="K16" s="127">
        <v>15211</v>
      </c>
      <c r="L16" s="125">
        <v>1389</v>
      </c>
      <c r="M16" s="127">
        <v>636533</v>
      </c>
      <c r="N16" s="12" t="s">
        <v>17</v>
      </c>
    </row>
    <row r="17" spans="1:14" ht="18.75" customHeight="1">
      <c r="A17" s="11" t="s">
        <v>18</v>
      </c>
      <c r="B17" s="125">
        <f>_xlfn.COMPOUNDVALUE(41)</f>
        <v>1149</v>
      </c>
      <c r="C17" s="126">
        <v>885422</v>
      </c>
      <c r="D17" s="125">
        <f>_xlfn.COMPOUNDVALUE(42)</f>
        <v>1286</v>
      </c>
      <c r="E17" s="126">
        <v>531647</v>
      </c>
      <c r="F17" s="125">
        <f>_xlfn.COMPOUNDVALUE(43)</f>
        <v>2435</v>
      </c>
      <c r="G17" s="126">
        <v>1417069</v>
      </c>
      <c r="H17" s="125">
        <f>_xlfn.COMPOUNDVALUE(44)</f>
        <v>80</v>
      </c>
      <c r="I17" s="127">
        <v>64231</v>
      </c>
      <c r="J17" s="125">
        <v>150</v>
      </c>
      <c r="K17" s="127">
        <v>35129</v>
      </c>
      <c r="L17" s="125">
        <v>2598</v>
      </c>
      <c r="M17" s="127">
        <v>1387968</v>
      </c>
      <c r="N17" s="12" t="s">
        <v>18</v>
      </c>
    </row>
    <row r="18" spans="1:14" ht="18.75" customHeight="1">
      <c r="A18" s="11" t="s">
        <v>19</v>
      </c>
      <c r="B18" s="125">
        <f>_xlfn.COMPOUNDVALUE(45)</f>
        <v>2742</v>
      </c>
      <c r="C18" s="126">
        <v>2012005</v>
      </c>
      <c r="D18" s="125">
        <f>_xlfn.COMPOUNDVALUE(46)</f>
        <v>2234</v>
      </c>
      <c r="E18" s="126">
        <v>1031406</v>
      </c>
      <c r="F18" s="125">
        <f>_xlfn.COMPOUNDVALUE(47)</f>
        <v>4976</v>
      </c>
      <c r="G18" s="126">
        <v>3043411</v>
      </c>
      <c r="H18" s="125">
        <f>_xlfn.COMPOUNDVALUE(48)</f>
        <v>527</v>
      </c>
      <c r="I18" s="127">
        <v>266574</v>
      </c>
      <c r="J18" s="125">
        <v>209</v>
      </c>
      <c r="K18" s="127">
        <v>155575</v>
      </c>
      <c r="L18" s="125">
        <v>5568</v>
      </c>
      <c r="M18" s="127">
        <v>2932413</v>
      </c>
      <c r="N18" s="12" t="s">
        <v>19</v>
      </c>
    </row>
    <row r="19" spans="1:14" ht="18.75" customHeight="1">
      <c r="A19" s="11" t="s">
        <v>20</v>
      </c>
      <c r="B19" s="125">
        <f>_xlfn.COMPOUNDVALUE(49)</f>
        <v>799</v>
      </c>
      <c r="C19" s="126">
        <v>890829</v>
      </c>
      <c r="D19" s="125">
        <f>_xlfn.COMPOUNDVALUE(50)</f>
        <v>1263</v>
      </c>
      <c r="E19" s="126">
        <v>577023</v>
      </c>
      <c r="F19" s="125">
        <f>_xlfn.COMPOUNDVALUE(51)</f>
        <v>2062</v>
      </c>
      <c r="G19" s="126">
        <v>1467852</v>
      </c>
      <c r="H19" s="125">
        <f>_xlfn.COMPOUNDVALUE(52)</f>
        <v>103</v>
      </c>
      <c r="I19" s="127">
        <v>54713</v>
      </c>
      <c r="J19" s="125">
        <v>120</v>
      </c>
      <c r="K19" s="127">
        <v>20376</v>
      </c>
      <c r="L19" s="125">
        <v>2220</v>
      </c>
      <c r="M19" s="127">
        <v>1433516</v>
      </c>
      <c r="N19" s="12" t="s">
        <v>20</v>
      </c>
    </row>
    <row r="20" spans="1:14" ht="18.75" customHeight="1">
      <c r="A20" s="11" t="s">
        <v>21</v>
      </c>
      <c r="B20" s="125">
        <f>_xlfn.COMPOUNDVALUE(53)</f>
        <v>388</v>
      </c>
      <c r="C20" s="126">
        <v>174282</v>
      </c>
      <c r="D20" s="125">
        <f>_xlfn.COMPOUNDVALUE(54)</f>
        <v>2125</v>
      </c>
      <c r="E20" s="126">
        <v>711429</v>
      </c>
      <c r="F20" s="125">
        <f>_xlfn.COMPOUNDVALUE(55)</f>
        <v>2513</v>
      </c>
      <c r="G20" s="126">
        <v>885711</v>
      </c>
      <c r="H20" s="125">
        <f>_xlfn.COMPOUNDVALUE(56)</f>
        <v>140</v>
      </c>
      <c r="I20" s="127">
        <v>58464</v>
      </c>
      <c r="J20" s="125">
        <v>92</v>
      </c>
      <c r="K20" s="127">
        <v>5297</v>
      </c>
      <c r="L20" s="125">
        <v>2667</v>
      </c>
      <c r="M20" s="127">
        <v>832544</v>
      </c>
      <c r="N20" s="12" t="s">
        <v>21</v>
      </c>
    </row>
    <row r="21" spans="1:14" ht="18.75" customHeight="1">
      <c r="A21" s="11" t="s">
        <v>22</v>
      </c>
      <c r="B21" s="125">
        <f>_xlfn.COMPOUNDVALUE(57)</f>
        <v>862</v>
      </c>
      <c r="C21" s="126">
        <v>600679</v>
      </c>
      <c r="D21" s="125">
        <f>_xlfn.COMPOUNDVALUE(58)</f>
        <v>1083</v>
      </c>
      <c r="E21" s="126">
        <v>442246</v>
      </c>
      <c r="F21" s="125">
        <f>_xlfn.COMPOUNDVALUE(59)</f>
        <v>1945</v>
      </c>
      <c r="G21" s="126">
        <v>1042925</v>
      </c>
      <c r="H21" s="125">
        <f>_xlfn.COMPOUNDVALUE(60)</f>
        <v>559</v>
      </c>
      <c r="I21" s="127">
        <v>183893</v>
      </c>
      <c r="J21" s="125">
        <v>38</v>
      </c>
      <c r="K21" s="127">
        <v>9048</v>
      </c>
      <c r="L21" s="125">
        <v>2527</v>
      </c>
      <c r="M21" s="127">
        <v>868080</v>
      </c>
      <c r="N21" s="12" t="s">
        <v>22</v>
      </c>
    </row>
    <row r="22" spans="1:14" ht="18.75" customHeight="1">
      <c r="A22" s="11" t="s">
        <v>23</v>
      </c>
      <c r="B22" s="125">
        <f>_xlfn.COMPOUNDVALUE(61)</f>
        <v>148</v>
      </c>
      <c r="C22" s="126">
        <v>119579</v>
      </c>
      <c r="D22" s="125">
        <f>_xlfn.COMPOUNDVALUE(62)</f>
        <v>492</v>
      </c>
      <c r="E22" s="126">
        <v>182031</v>
      </c>
      <c r="F22" s="125">
        <f>_xlfn.COMPOUNDVALUE(63)</f>
        <v>640</v>
      </c>
      <c r="G22" s="126">
        <v>301610</v>
      </c>
      <c r="H22" s="125">
        <f>_xlfn.COMPOUNDVALUE(64)</f>
        <v>27</v>
      </c>
      <c r="I22" s="127">
        <v>11027</v>
      </c>
      <c r="J22" s="125">
        <v>28</v>
      </c>
      <c r="K22" s="127">
        <v>1518</v>
      </c>
      <c r="L22" s="125">
        <v>673</v>
      </c>
      <c r="M22" s="127">
        <v>292101</v>
      </c>
      <c r="N22" s="12" t="s">
        <v>23</v>
      </c>
    </row>
    <row r="23" spans="1:14" ht="18.75" customHeight="1">
      <c r="A23" s="11" t="s">
        <v>24</v>
      </c>
      <c r="B23" s="125">
        <f>_xlfn.COMPOUNDVALUE(65)</f>
        <v>602</v>
      </c>
      <c r="C23" s="126">
        <v>435542</v>
      </c>
      <c r="D23" s="125">
        <f>_xlfn.COMPOUNDVALUE(66)</f>
        <v>1401</v>
      </c>
      <c r="E23" s="126">
        <v>602464</v>
      </c>
      <c r="F23" s="125">
        <f>_xlfn.COMPOUNDVALUE(67)</f>
        <v>2003</v>
      </c>
      <c r="G23" s="126">
        <v>1038006</v>
      </c>
      <c r="H23" s="125">
        <f>_xlfn.COMPOUNDVALUE(68)</f>
        <v>64</v>
      </c>
      <c r="I23" s="127">
        <v>37930</v>
      </c>
      <c r="J23" s="125">
        <v>84</v>
      </c>
      <c r="K23" s="127">
        <v>9973</v>
      </c>
      <c r="L23" s="125">
        <v>2105</v>
      </c>
      <c r="M23" s="127">
        <v>1010049</v>
      </c>
      <c r="N23" s="12" t="s">
        <v>24</v>
      </c>
    </row>
    <row r="24" spans="1:14" ht="18.75" customHeight="1">
      <c r="A24" s="13" t="s">
        <v>25</v>
      </c>
      <c r="B24" s="128">
        <f>_xlfn.COMPOUNDVALUE(69)</f>
        <v>864</v>
      </c>
      <c r="C24" s="129">
        <v>936218</v>
      </c>
      <c r="D24" s="128">
        <f>_xlfn.COMPOUNDVALUE(70)</f>
        <v>1287</v>
      </c>
      <c r="E24" s="129">
        <v>637487</v>
      </c>
      <c r="F24" s="128">
        <f>_xlfn.COMPOUNDVALUE(71)</f>
        <v>2151</v>
      </c>
      <c r="G24" s="129">
        <v>1573705</v>
      </c>
      <c r="H24" s="128">
        <f>_xlfn.COMPOUNDVALUE(72)</f>
        <v>66</v>
      </c>
      <c r="I24" s="130">
        <v>56971</v>
      </c>
      <c r="J24" s="128">
        <v>65</v>
      </c>
      <c r="K24" s="130">
        <v>4057</v>
      </c>
      <c r="L24" s="128">
        <v>2228</v>
      </c>
      <c r="M24" s="130">
        <v>1520791</v>
      </c>
      <c r="N24" s="14" t="s">
        <v>25</v>
      </c>
    </row>
    <row r="25" spans="1:14" ht="18.75" customHeight="1">
      <c r="A25" s="13" t="s">
        <v>26</v>
      </c>
      <c r="B25" s="128">
        <f>_xlfn.COMPOUNDVALUE(73)</f>
        <v>816</v>
      </c>
      <c r="C25" s="129">
        <v>956972</v>
      </c>
      <c r="D25" s="128">
        <f>_xlfn.COMPOUNDVALUE(74)</f>
        <v>702</v>
      </c>
      <c r="E25" s="129">
        <v>372722</v>
      </c>
      <c r="F25" s="128">
        <f>_xlfn.COMPOUNDVALUE(75)</f>
        <v>1518</v>
      </c>
      <c r="G25" s="129">
        <v>1329694</v>
      </c>
      <c r="H25" s="128">
        <f>_xlfn.COMPOUNDVALUE(76)</f>
        <v>58</v>
      </c>
      <c r="I25" s="130">
        <v>76021</v>
      </c>
      <c r="J25" s="128">
        <v>60</v>
      </c>
      <c r="K25" s="130">
        <v>5465</v>
      </c>
      <c r="L25" s="128">
        <v>1593</v>
      </c>
      <c r="M25" s="130">
        <v>1259138</v>
      </c>
      <c r="N25" s="14" t="s">
        <v>26</v>
      </c>
    </row>
    <row r="26" spans="1:14" ht="18.75" customHeight="1">
      <c r="A26" s="13" t="s">
        <v>27</v>
      </c>
      <c r="B26" s="128">
        <f>_xlfn.COMPOUNDVALUE(77)</f>
        <v>421</v>
      </c>
      <c r="C26" s="129">
        <v>189043</v>
      </c>
      <c r="D26" s="128">
        <f>_xlfn.COMPOUNDVALUE(78)</f>
        <v>730</v>
      </c>
      <c r="E26" s="129">
        <v>256676</v>
      </c>
      <c r="F26" s="128">
        <f>_xlfn.COMPOUNDVALUE(79)</f>
        <v>1151</v>
      </c>
      <c r="G26" s="129">
        <v>445719</v>
      </c>
      <c r="H26" s="128">
        <f>_xlfn.COMPOUNDVALUE(80)</f>
        <v>100</v>
      </c>
      <c r="I26" s="130">
        <v>41952</v>
      </c>
      <c r="J26" s="128">
        <v>68</v>
      </c>
      <c r="K26" s="130">
        <v>7001</v>
      </c>
      <c r="L26" s="128">
        <v>1267</v>
      </c>
      <c r="M26" s="130">
        <v>410767</v>
      </c>
      <c r="N26" s="14" t="s">
        <v>27</v>
      </c>
    </row>
    <row r="27" spans="1:14" ht="18.75" customHeight="1">
      <c r="A27" s="13" t="s">
        <v>28</v>
      </c>
      <c r="B27" s="128">
        <f>_xlfn.COMPOUNDVALUE(81)</f>
        <v>1011</v>
      </c>
      <c r="C27" s="129">
        <v>960239</v>
      </c>
      <c r="D27" s="128">
        <f>_xlfn.COMPOUNDVALUE(82)</f>
        <v>1583</v>
      </c>
      <c r="E27" s="129">
        <v>766134</v>
      </c>
      <c r="F27" s="128">
        <f>_xlfn.COMPOUNDVALUE(83)</f>
        <v>2594</v>
      </c>
      <c r="G27" s="129">
        <v>1726374</v>
      </c>
      <c r="H27" s="128">
        <f>_xlfn.COMPOUNDVALUE(84)</f>
        <v>89</v>
      </c>
      <c r="I27" s="130">
        <v>78797</v>
      </c>
      <c r="J27" s="128">
        <v>86</v>
      </c>
      <c r="K27" s="130">
        <v>4775</v>
      </c>
      <c r="L27" s="128">
        <v>2700</v>
      </c>
      <c r="M27" s="130">
        <v>1652352</v>
      </c>
      <c r="N27" s="14" t="s">
        <v>28</v>
      </c>
    </row>
    <row r="28" spans="1:14" ht="18.75" customHeight="1">
      <c r="A28" s="13" t="s">
        <v>29</v>
      </c>
      <c r="B28" s="128">
        <f>_xlfn.COMPOUNDVALUE(85)</f>
        <v>148</v>
      </c>
      <c r="C28" s="129">
        <v>73560</v>
      </c>
      <c r="D28" s="128">
        <f>_xlfn.COMPOUNDVALUE(86)</f>
        <v>837</v>
      </c>
      <c r="E28" s="129">
        <v>285420</v>
      </c>
      <c r="F28" s="128">
        <f>_xlfn.COMPOUNDVALUE(87)</f>
        <v>985</v>
      </c>
      <c r="G28" s="129">
        <v>358980</v>
      </c>
      <c r="H28" s="128">
        <f>_xlfn.COMPOUNDVALUE(88)</f>
        <v>8</v>
      </c>
      <c r="I28" s="130">
        <v>5877</v>
      </c>
      <c r="J28" s="128">
        <v>89</v>
      </c>
      <c r="K28" s="130">
        <v>7756</v>
      </c>
      <c r="L28" s="128">
        <v>1006</v>
      </c>
      <c r="M28" s="130">
        <v>360859</v>
      </c>
      <c r="N28" s="14" t="s">
        <v>29</v>
      </c>
    </row>
    <row r="29" spans="1:14" ht="18.75" customHeight="1">
      <c r="A29" s="13" t="s">
        <v>30</v>
      </c>
      <c r="B29" s="128">
        <f>_xlfn.COMPOUNDVALUE(89)</f>
        <v>126</v>
      </c>
      <c r="C29" s="129">
        <v>88028</v>
      </c>
      <c r="D29" s="128">
        <f>_xlfn.COMPOUNDVALUE(90)</f>
        <v>1129</v>
      </c>
      <c r="E29" s="129">
        <v>404091</v>
      </c>
      <c r="F29" s="128">
        <f>_xlfn.COMPOUNDVALUE(91)</f>
        <v>1255</v>
      </c>
      <c r="G29" s="129">
        <v>492120</v>
      </c>
      <c r="H29" s="128">
        <f>_xlfn.COMPOUNDVALUE(92)</f>
        <v>19</v>
      </c>
      <c r="I29" s="130">
        <v>6909</v>
      </c>
      <c r="J29" s="128">
        <v>140</v>
      </c>
      <c r="K29" s="130">
        <v>3916</v>
      </c>
      <c r="L29" s="128">
        <v>1288</v>
      </c>
      <c r="M29" s="130">
        <v>489127</v>
      </c>
      <c r="N29" s="14" t="s">
        <v>30</v>
      </c>
    </row>
    <row r="30" spans="1:14" ht="18.75" customHeight="1">
      <c r="A30" s="13" t="s">
        <v>31</v>
      </c>
      <c r="B30" s="128">
        <f>_xlfn.COMPOUNDVALUE(93)</f>
        <v>171</v>
      </c>
      <c r="C30" s="129">
        <v>106613</v>
      </c>
      <c r="D30" s="128">
        <f>_xlfn.COMPOUNDVALUE(94)</f>
        <v>734</v>
      </c>
      <c r="E30" s="129">
        <v>296079</v>
      </c>
      <c r="F30" s="128">
        <f>_xlfn.COMPOUNDVALUE(95)</f>
        <v>905</v>
      </c>
      <c r="G30" s="129">
        <v>402692</v>
      </c>
      <c r="H30" s="128">
        <f>_xlfn.COMPOUNDVALUE(96)</f>
        <v>33</v>
      </c>
      <c r="I30" s="130">
        <v>16722</v>
      </c>
      <c r="J30" s="128">
        <v>28</v>
      </c>
      <c r="K30" s="130">
        <v>1929</v>
      </c>
      <c r="L30" s="128">
        <v>946</v>
      </c>
      <c r="M30" s="130">
        <v>387899</v>
      </c>
      <c r="N30" s="14" t="s">
        <v>31</v>
      </c>
    </row>
    <row r="31" spans="1:14" ht="18.75" customHeight="1">
      <c r="A31" s="13" t="s">
        <v>32</v>
      </c>
      <c r="B31" s="128">
        <f>_xlfn.COMPOUNDVALUE(97)</f>
        <v>265</v>
      </c>
      <c r="C31" s="129">
        <v>332025</v>
      </c>
      <c r="D31" s="128">
        <f>_xlfn.COMPOUNDVALUE(98)</f>
        <v>1119</v>
      </c>
      <c r="E31" s="129">
        <v>604063</v>
      </c>
      <c r="F31" s="128">
        <f>_xlfn.COMPOUNDVALUE(99)</f>
        <v>1384</v>
      </c>
      <c r="G31" s="129">
        <v>936089</v>
      </c>
      <c r="H31" s="128">
        <f>_xlfn.COMPOUNDVALUE(100)</f>
        <v>12</v>
      </c>
      <c r="I31" s="130">
        <v>4609</v>
      </c>
      <c r="J31" s="128">
        <v>45</v>
      </c>
      <c r="K31" s="130">
        <v>4774</v>
      </c>
      <c r="L31" s="128">
        <v>1410</v>
      </c>
      <c r="M31" s="130">
        <v>936254</v>
      </c>
      <c r="N31" s="14" t="s">
        <v>32</v>
      </c>
    </row>
    <row r="32" spans="1:14" ht="18.75" customHeight="1">
      <c r="A32" s="13" t="s">
        <v>33</v>
      </c>
      <c r="B32" s="128">
        <f>_xlfn.COMPOUNDVALUE(101)</f>
        <v>67</v>
      </c>
      <c r="C32" s="129">
        <v>31824</v>
      </c>
      <c r="D32" s="128">
        <f>_xlfn.COMPOUNDVALUE(102)</f>
        <v>244</v>
      </c>
      <c r="E32" s="129">
        <v>76334</v>
      </c>
      <c r="F32" s="128">
        <f>_xlfn.COMPOUNDVALUE(103)</f>
        <v>311</v>
      </c>
      <c r="G32" s="129">
        <v>108159</v>
      </c>
      <c r="H32" s="128">
        <f>_xlfn.COMPOUNDVALUE(104)</f>
        <v>11</v>
      </c>
      <c r="I32" s="130">
        <v>5602</v>
      </c>
      <c r="J32" s="128">
        <v>33</v>
      </c>
      <c r="K32" s="130">
        <v>2456</v>
      </c>
      <c r="L32" s="128">
        <v>334</v>
      </c>
      <c r="M32" s="130">
        <v>105013</v>
      </c>
      <c r="N32" s="14" t="s">
        <v>33</v>
      </c>
    </row>
    <row r="33" spans="1:14" ht="18.75" customHeight="1">
      <c r="A33" s="13" t="s">
        <v>34</v>
      </c>
      <c r="B33" s="128">
        <f>_xlfn.COMPOUNDVALUE(105)</f>
        <v>383</v>
      </c>
      <c r="C33" s="129">
        <v>196847</v>
      </c>
      <c r="D33" s="128">
        <f>_xlfn.COMPOUNDVALUE(106)</f>
        <v>956</v>
      </c>
      <c r="E33" s="129">
        <v>376590</v>
      </c>
      <c r="F33" s="128">
        <f>_xlfn.COMPOUNDVALUE(107)</f>
        <v>1339</v>
      </c>
      <c r="G33" s="129">
        <v>573437</v>
      </c>
      <c r="H33" s="128">
        <f>_xlfn.COMPOUNDVALUE(108)</f>
        <v>91</v>
      </c>
      <c r="I33" s="130">
        <v>197360</v>
      </c>
      <c r="J33" s="128">
        <v>107</v>
      </c>
      <c r="K33" s="130">
        <v>5321</v>
      </c>
      <c r="L33" s="128">
        <v>1456</v>
      </c>
      <c r="M33" s="130">
        <v>381399</v>
      </c>
      <c r="N33" s="14" t="s">
        <v>34</v>
      </c>
    </row>
    <row r="34" spans="1:14" ht="18.75" customHeight="1">
      <c r="A34" s="13" t="s">
        <v>35</v>
      </c>
      <c r="B34" s="128">
        <f>_xlfn.COMPOUNDVALUE(109)</f>
        <v>74</v>
      </c>
      <c r="C34" s="129">
        <v>59793</v>
      </c>
      <c r="D34" s="128">
        <f>_xlfn.COMPOUNDVALUE(110)</f>
        <v>389</v>
      </c>
      <c r="E34" s="129">
        <v>140218</v>
      </c>
      <c r="F34" s="128">
        <f>_xlfn.COMPOUNDVALUE(111)</f>
        <v>463</v>
      </c>
      <c r="G34" s="129">
        <v>200011</v>
      </c>
      <c r="H34" s="128">
        <f>_xlfn.COMPOUNDVALUE(112)</f>
        <v>7</v>
      </c>
      <c r="I34" s="130">
        <v>1312</v>
      </c>
      <c r="J34" s="128">
        <v>14</v>
      </c>
      <c r="K34" s="130">
        <v>1046</v>
      </c>
      <c r="L34" s="128">
        <v>475</v>
      </c>
      <c r="M34" s="130">
        <v>199745</v>
      </c>
      <c r="N34" s="14" t="s">
        <v>35</v>
      </c>
    </row>
    <row r="35" spans="1:14" ht="18.75" customHeight="1">
      <c r="A35" s="13" t="s">
        <v>36</v>
      </c>
      <c r="B35" s="128">
        <f>_xlfn.COMPOUNDVALUE(113)</f>
        <v>319</v>
      </c>
      <c r="C35" s="129">
        <v>194226</v>
      </c>
      <c r="D35" s="128">
        <f>_xlfn.COMPOUNDVALUE(114)</f>
        <v>535</v>
      </c>
      <c r="E35" s="129">
        <v>216785</v>
      </c>
      <c r="F35" s="128">
        <f>_xlfn.COMPOUNDVALUE(115)</f>
        <v>854</v>
      </c>
      <c r="G35" s="129">
        <v>411012</v>
      </c>
      <c r="H35" s="128">
        <f>_xlfn.COMPOUNDVALUE(116)</f>
        <v>41</v>
      </c>
      <c r="I35" s="130">
        <v>29819</v>
      </c>
      <c r="J35" s="128">
        <v>54</v>
      </c>
      <c r="K35" s="130">
        <v>6098</v>
      </c>
      <c r="L35" s="128">
        <v>908</v>
      </c>
      <c r="M35" s="130">
        <v>387291</v>
      </c>
      <c r="N35" s="14" t="s">
        <v>36</v>
      </c>
    </row>
    <row r="36" spans="1:14" s="15" customFormat="1" ht="18.75" customHeight="1" thickBot="1">
      <c r="A36" s="87" t="s">
        <v>37</v>
      </c>
      <c r="B36" s="131">
        <f>_xlfn.COMPOUNDVALUE(117)</f>
        <v>714</v>
      </c>
      <c r="C36" s="132">
        <v>440475</v>
      </c>
      <c r="D36" s="131">
        <f>_xlfn.COMPOUNDVALUE(118)</f>
        <v>279</v>
      </c>
      <c r="E36" s="132">
        <v>110887</v>
      </c>
      <c r="F36" s="131">
        <f>_xlfn.COMPOUNDVALUE(119)</f>
        <v>993</v>
      </c>
      <c r="G36" s="132">
        <v>551362</v>
      </c>
      <c r="H36" s="131">
        <f>_xlfn.COMPOUNDVALUE(120)</f>
        <v>171</v>
      </c>
      <c r="I36" s="133">
        <v>58830</v>
      </c>
      <c r="J36" s="131">
        <v>34</v>
      </c>
      <c r="K36" s="133">
        <v>2939</v>
      </c>
      <c r="L36" s="131">
        <v>1174</v>
      </c>
      <c r="M36" s="133">
        <v>495471</v>
      </c>
      <c r="N36" s="85" t="s">
        <v>37</v>
      </c>
    </row>
    <row r="37" spans="1:14" ht="18.75" customHeight="1" thickBot="1" thickTop="1">
      <c r="A37" s="16" t="s">
        <v>44</v>
      </c>
      <c r="B37" s="134">
        <v>18881</v>
      </c>
      <c r="C37" s="135">
        <v>13654495</v>
      </c>
      <c r="D37" s="134">
        <v>32514</v>
      </c>
      <c r="E37" s="135">
        <v>13603023</v>
      </c>
      <c r="F37" s="134">
        <v>51395</v>
      </c>
      <c r="G37" s="135">
        <v>27257518</v>
      </c>
      <c r="H37" s="134">
        <v>2688</v>
      </c>
      <c r="I37" s="136">
        <v>1536860</v>
      </c>
      <c r="J37" s="134">
        <v>3334</v>
      </c>
      <c r="K37" s="136">
        <v>654005</v>
      </c>
      <c r="L37" s="134">
        <v>55379</v>
      </c>
      <c r="M37" s="136">
        <v>26374664</v>
      </c>
      <c r="N37" s="17" t="str">
        <f>IF(A37="","",A37)</f>
        <v>合　　計</v>
      </c>
    </row>
    <row r="38" spans="1:14" ht="3" customHeight="1">
      <c r="A38" s="31"/>
      <c r="B38" s="32"/>
      <c r="C38" s="32"/>
      <c r="D38" s="32"/>
      <c r="E38" s="32"/>
      <c r="F38" s="32"/>
      <c r="G38" s="32"/>
      <c r="H38" s="32"/>
      <c r="I38" s="32"/>
      <c r="J38" s="32"/>
      <c r="K38" s="32"/>
      <c r="L38" s="32"/>
      <c r="M38" s="32"/>
      <c r="N38" s="31"/>
    </row>
    <row r="39" spans="1:14" ht="13.5">
      <c r="A39" s="175" t="s">
        <v>111</v>
      </c>
      <c r="B39" s="175"/>
      <c r="C39" s="175"/>
      <c r="D39" s="175"/>
      <c r="E39" s="175"/>
      <c r="F39" s="175"/>
      <c r="G39" s="175"/>
      <c r="H39" s="175"/>
      <c r="I39" s="175"/>
      <c r="J39" s="18"/>
      <c r="K39" s="18"/>
      <c r="L39" s="2"/>
      <c r="M39" s="2"/>
      <c r="N39" s="2"/>
    </row>
    <row r="41" spans="2:10" ht="13.5">
      <c r="B41" s="19"/>
      <c r="C41" s="19"/>
      <c r="D41" s="19"/>
      <c r="E41" s="19"/>
      <c r="F41" s="19"/>
      <c r="G41" s="19"/>
      <c r="H41" s="19"/>
      <c r="J41" s="19"/>
    </row>
    <row r="42" spans="2:10" ht="13.5">
      <c r="B42" s="19"/>
      <c r="C42" s="19"/>
      <c r="D42" s="19"/>
      <c r="E42" s="19"/>
      <c r="F42" s="19"/>
      <c r="G42" s="19"/>
      <c r="H42" s="19"/>
      <c r="J42" s="19"/>
    </row>
    <row r="43" spans="2:10" ht="13.5">
      <c r="B43" s="19"/>
      <c r="C43" s="19"/>
      <c r="D43" s="19"/>
      <c r="E43" s="19"/>
      <c r="F43" s="19"/>
      <c r="G43" s="19"/>
      <c r="H43" s="19"/>
      <c r="J43" s="19"/>
    </row>
    <row r="44" spans="2:10" ht="13.5">
      <c r="B44" s="19"/>
      <c r="C44" s="19"/>
      <c r="D44" s="19"/>
      <c r="E44" s="19"/>
      <c r="F44" s="19"/>
      <c r="G44" s="19"/>
      <c r="H44" s="19"/>
      <c r="J44" s="19"/>
    </row>
    <row r="45" spans="2:10" ht="13.5">
      <c r="B45" s="19"/>
      <c r="C45" s="19"/>
      <c r="D45" s="19"/>
      <c r="E45" s="19"/>
      <c r="F45" s="19"/>
      <c r="G45" s="19"/>
      <c r="H45" s="19"/>
      <c r="J45" s="19"/>
    </row>
    <row r="46" spans="2:10" ht="13.5">
      <c r="B46" s="19"/>
      <c r="C46" s="19"/>
      <c r="D46" s="19"/>
      <c r="E46" s="19"/>
      <c r="F46" s="19"/>
      <c r="G46" s="19"/>
      <c r="H46" s="19"/>
      <c r="J46" s="19"/>
    </row>
    <row r="47" spans="2:10" ht="13.5">
      <c r="B47" s="19"/>
      <c r="C47" s="19"/>
      <c r="D47" s="19"/>
      <c r="E47" s="19"/>
      <c r="F47" s="19"/>
      <c r="G47" s="19"/>
      <c r="H47" s="19"/>
      <c r="J47" s="19"/>
    </row>
    <row r="48" spans="2:10" ht="13.5">
      <c r="B48" s="19"/>
      <c r="C48" s="19"/>
      <c r="D48" s="19"/>
      <c r="E48" s="19"/>
      <c r="F48" s="19"/>
      <c r="G48" s="19"/>
      <c r="H48" s="19"/>
      <c r="J48" s="19"/>
    </row>
    <row r="49" spans="2:10" ht="13.5">
      <c r="B49" s="19"/>
      <c r="C49" s="19"/>
      <c r="D49" s="19"/>
      <c r="E49" s="19"/>
      <c r="F49" s="19"/>
      <c r="G49" s="19"/>
      <c r="H49" s="19"/>
      <c r="J49" s="19"/>
    </row>
    <row r="50" spans="2:10" ht="13.5">
      <c r="B50" s="19"/>
      <c r="C50" s="19"/>
      <c r="D50" s="19"/>
      <c r="E50" s="19"/>
      <c r="F50" s="19"/>
      <c r="G50" s="19"/>
      <c r="H50" s="19"/>
      <c r="J50" s="19"/>
    </row>
    <row r="51" spans="2:10" ht="13.5">
      <c r="B51" s="19"/>
      <c r="C51" s="19"/>
      <c r="D51" s="19"/>
      <c r="E51" s="19"/>
      <c r="F51" s="19"/>
      <c r="G51" s="19"/>
      <c r="H51" s="19"/>
      <c r="J51" s="19"/>
    </row>
    <row r="52" spans="2:10" ht="13.5">
      <c r="B52" s="19"/>
      <c r="C52" s="19"/>
      <c r="D52" s="19"/>
      <c r="E52" s="19"/>
      <c r="F52" s="19"/>
      <c r="G52" s="19"/>
      <c r="H52" s="19"/>
      <c r="J52" s="19"/>
    </row>
    <row r="53" spans="2:10" ht="13.5">
      <c r="B53" s="19"/>
      <c r="C53" s="19"/>
      <c r="D53" s="19"/>
      <c r="E53" s="19"/>
      <c r="F53" s="19"/>
      <c r="G53" s="19"/>
      <c r="H53" s="19"/>
      <c r="J53" s="19"/>
    </row>
  </sheetData>
  <sheetProtection/>
  <mergeCells count="11">
    <mergeCell ref="L3:M4"/>
    <mergeCell ref="A39:I39"/>
    <mergeCell ref="A2:G2"/>
    <mergeCell ref="A3:A5"/>
    <mergeCell ref="B3:G3"/>
    <mergeCell ref="H3:I4"/>
    <mergeCell ref="N3:N5"/>
    <mergeCell ref="B4:C4"/>
    <mergeCell ref="D4:E4"/>
    <mergeCell ref="F4:G4"/>
    <mergeCell ref="J3:K4"/>
  </mergeCells>
  <printOptions horizontalCentered="1"/>
  <pageMargins left="0.7874015748031497" right="0.7874015748031497" top="0.9055118110236221" bottom="0.5905511811023623" header="0.5118110236220472" footer="0.31496062992125984"/>
  <pageSetup fitToHeight="0" horizontalDpi="600" verticalDpi="600" orientation="landscape" paperSize="9" scale="75" r:id="rId1"/>
  <headerFooter alignWithMargins="0">
    <oddFooter>&amp;R札幌国税局　
消費税
（H27）</oddFooter>
  </headerFooter>
</worksheet>
</file>

<file path=xl/worksheets/sheet5.xml><?xml version="1.0" encoding="utf-8"?>
<worksheet xmlns="http://schemas.openxmlformats.org/spreadsheetml/2006/main" xmlns:r="http://schemas.openxmlformats.org/officeDocument/2006/relationships">
  <dimension ref="A1:N39"/>
  <sheetViews>
    <sheetView view="pageBreakPreview" zoomScale="85" zoomScaleSheetLayoutView="85" zoomScalePageLayoutView="0" workbookViewId="0" topLeftCell="A1">
      <selection activeCell="A1" sqref="A1"/>
    </sheetView>
  </sheetViews>
  <sheetFormatPr defaultColWidth="9.140625" defaultRowHeight="15"/>
  <cols>
    <col min="1" max="1" width="12.28125" style="3" customWidth="1"/>
    <col min="2" max="2" width="8.57421875" style="3" customWidth="1"/>
    <col min="3" max="3" width="11.57421875" style="3" customWidth="1"/>
    <col min="4" max="4" width="8.57421875" style="3" customWidth="1"/>
    <col min="5" max="5" width="11.57421875" style="3" customWidth="1"/>
    <col min="6" max="6" width="8.57421875" style="3" customWidth="1"/>
    <col min="7" max="7" width="11.57421875" style="3" customWidth="1"/>
    <col min="8" max="8" width="8.57421875" style="3" customWidth="1"/>
    <col min="9" max="9" width="11.57421875" style="3" customWidth="1"/>
    <col min="10" max="10" width="8.57421875" style="3" customWidth="1"/>
    <col min="11" max="11" width="11.57421875" style="3" customWidth="1"/>
    <col min="12" max="12" width="10.57421875" style="3" customWidth="1"/>
    <col min="13" max="13" width="12.57421875" style="3" customWidth="1"/>
    <col min="14" max="14" width="12.28125" style="3" customWidth="1"/>
    <col min="15" max="16384" width="9.00390625" style="3" customWidth="1"/>
  </cols>
  <sheetData>
    <row r="1" spans="1:13" ht="13.5">
      <c r="A1" s="1" t="s">
        <v>38</v>
      </c>
      <c r="B1" s="1"/>
      <c r="C1" s="1"/>
      <c r="D1" s="1"/>
      <c r="E1" s="1"/>
      <c r="F1" s="1"/>
      <c r="G1" s="1"/>
      <c r="H1" s="1"/>
      <c r="I1" s="1"/>
      <c r="J1" s="1"/>
      <c r="K1" s="1"/>
      <c r="L1" s="2"/>
      <c r="M1" s="2"/>
    </row>
    <row r="2" spans="1:13" ht="14.25" thickBot="1">
      <c r="A2" s="193" t="s">
        <v>39</v>
      </c>
      <c r="B2" s="193"/>
      <c r="C2" s="193"/>
      <c r="D2" s="193"/>
      <c r="E2" s="193"/>
      <c r="F2" s="193"/>
      <c r="G2" s="193"/>
      <c r="H2" s="193"/>
      <c r="I2" s="193"/>
      <c r="J2" s="18"/>
      <c r="K2" s="18"/>
      <c r="L2" s="2"/>
      <c r="M2" s="2"/>
    </row>
    <row r="3" spans="1:14" ht="19.5" customHeight="1">
      <c r="A3" s="177" t="s">
        <v>77</v>
      </c>
      <c r="B3" s="180" t="s">
        <v>82</v>
      </c>
      <c r="C3" s="180"/>
      <c r="D3" s="180"/>
      <c r="E3" s="180"/>
      <c r="F3" s="180"/>
      <c r="G3" s="180"/>
      <c r="H3" s="181" t="s">
        <v>1</v>
      </c>
      <c r="I3" s="182"/>
      <c r="J3" s="192" t="s">
        <v>2</v>
      </c>
      <c r="K3" s="182"/>
      <c r="L3" s="181" t="s">
        <v>3</v>
      </c>
      <c r="M3" s="182"/>
      <c r="N3" s="185" t="s">
        <v>40</v>
      </c>
    </row>
    <row r="4" spans="1:14" ht="17.25" customHeight="1">
      <c r="A4" s="178"/>
      <c r="B4" s="183" t="s">
        <v>78</v>
      </c>
      <c r="C4" s="191"/>
      <c r="D4" s="183" t="s">
        <v>5</v>
      </c>
      <c r="E4" s="191"/>
      <c r="F4" s="183" t="s">
        <v>6</v>
      </c>
      <c r="G4" s="191"/>
      <c r="H4" s="183"/>
      <c r="I4" s="184"/>
      <c r="J4" s="183"/>
      <c r="K4" s="184"/>
      <c r="L4" s="183"/>
      <c r="M4" s="184"/>
      <c r="N4" s="186"/>
    </row>
    <row r="5" spans="1:14" ht="28.5" customHeight="1">
      <c r="A5" s="179"/>
      <c r="B5" s="86" t="s">
        <v>79</v>
      </c>
      <c r="C5" s="26" t="s">
        <v>80</v>
      </c>
      <c r="D5" s="86" t="s">
        <v>79</v>
      </c>
      <c r="E5" s="26" t="s">
        <v>80</v>
      </c>
      <c r="F5" s="86" t="s">
        <v>79</v>
      </c>
      <c r="G5" s="26" t="s">
        <v>81</v>
      </c>
      <c r="H5" s="86" t="s">
        <v>79</v>
      </c>
      <c r="I5" s="27" t="s">
        <v>83</v>
      </c>
      <c r="J5" s="86" t="s">
        <v>79</v>
      </c>
      <c r="K5" s="27" t="s">
        <v>84</v>
      </c>
      <c r="L5" s="25" t="s">
        <v>79</v>
      </c>
      <c r="M5" s="28" t="s">
        <v>85</v>
      </c>
      <c r="N5" s="187"/>
    </row>
    <row r="6" spans="1:14" s="20" customFormat="1" ht="10.5">
      <c r="A6" s="5"/>
      <c r="B6" s="6" t="s">
        <v>7</v>
      </c>
      <c r="C6" s="7" t="s">
        <v>8</v>
      </c>
      <c r="D6" s="6" t="s">
        <v>7</v>
      </c>
      <c r="E6" s="7" t="s">
        <v>8</v>
      </c>
      <c r="F6" s="6" t="s">
        <v>7</v>
      </c>
      <c r="G6" s="7" t="s">
        <v>8</v>
      </c>
      <c r="H6" s="6" t="s">
        <v>7</v>
      </c>
      <c r="I6" s="8" t="s">
        <v>8</v>
      </c>
      <c r="J6" s="6" t="s">
        <v>7</v>
      </c>
      <c r="K6" s="8" t="s">
        <v>8</v>
      </c>
      <c r="L6" s="6" t="s">
        <v>7</v>
      </c>
      <c r="M6" s="8" t="s">
        <v>8</v>
      </c>
      <c r="N6" s="9"/>
    </row>
    <row r="7" spans="1:14" ht="18.75" customHeight="1">
      <c r="A7" s="11" t="s">
        <v>87</v>
      </c>
      <c r="B7" s="125">
        <f>_xlfn.COMPOUNDVALUE(121)</f>
        <v>3333</v>
      </c>
      <c r="C7" s="126">
        <v>55773163</v>
      </c>
      <c r="D7" s="125">
        <f>_xlfn.COMPOUNDVALUE(122)</f>
        <v>817</v>
      </c>
      <c r="E7" s="126">
        <v>640611</v>
      </c>
      <c r="F7" s="125">
        <f>_xlfn.COMPOUNDVALUE(123)</f>
        <v>4150</v>
      </c>
      <c r="G7" s="126">
        <v>56413774</v>
      </c>
      <c r="H7" s="125">
        <f>_xlfn.COMPOUNDVALUE(124)</f>
        <v>270</v>
      </c>
      <c r="I7" s="127">
        <v>2908512</v>
      </c>
      <c r="J7" s="125">
        <v>373</v>
      </c>
      <c r="K7" s="127">
        <v>173649</v>
      </c>
      <c r="L7" s="125">
        <v>4454</v>
      </c>
      <c r="M7" s="127">
        <v>53678911</v>
      </c>
      <c r="N7" s="12" t="s">
        <v>87</v>
      </c>
    </row>
    <row r="8" spans="1:14" ht="18.75" customHeight="1">
      <c r="A8" s="11" t="s">
        <v>10</v>
      </c>
      <c r="B8" s="125">
        <f>_xlfn.COMPOUNDVALUE(125)</f>
        <v>6499</v>
      </c>
      <c r="C8" s="126">
        <v>48741733</v>
      </c>
      <c r="D8" s="125">
        <f>_xlfn.COMPOUNDVALUE(126)</f>
        <v>2636</v>
      </c>
      <c r="E8" s="126">
        <v>1528602</v>
      </c>
      <c r="F8" s="125">
        <f>_xlfn.COMPOUNDVALUE(127)</f>
        <v>9135</v>
      </c>
      <c r="G8" s="126">
        <v>50270335</v>
      </c>
      <c r="H8" s="125">
        <f>_xlfn.COMPOUNDVALUE(128)</f>
        <v>365</v>
      </c>
      <c r="I8" s="127">
        <v>1331488</v>
      </c>
      <c r="J8" s="125">
        <v>581</v>
      </c>
      <c r="K8" s="127">
        <v>142843</v>
      </c>
      <c r="L8" s="125">
        <v>9611</v>
      </c>
      <c r="M8" s="127">
        <v>49081691</v>
      </c>
      <c r="N8" s="12" t="s">
        <v>10</v>
      </c>
    </row>
    <row r="9" spans="1:14" ht="18.75" customHeight="1">
      <c r="A9" s="11" t="s">
        <v>11</v>
      </c>
      <c r="B9" s="125">
        <f>_xlfn.COMPOUNDVALUE(129)</f>
        <v>5058</v>
      </c>
      <c r="C9" s="126">
        <v>27081587</v>
      </c>
      <c r="D9" s="125">
        <f>_xlfn.COMPOUNDVALUE(130)</f>
        <v>2140</v>
      </c>
      <c r="E9" s="126">
        <v>1256604</v>
      </c>
      <c r="F9" s="125">
        <f>_xlfn.COMPOUNDVALUE(131)</f>
        <v>7198</v>
      </c>
      <c r="G9" s="126">
        <v>28338191</v>
      </c>
      <c r="H9" s="125">
        <f>_xlfn.COMPOUNDVALUE(132)</f>
        <v>322</v>
      </c>
      <c r="I9" s="127">
        <v>1240530</v>
      </c>
      <c r="J9" s="125">
        <v>432</v>
      </c>
      <c r="K9" s="127">
        <v>156667</v>
      </c>
      <c r="L9" s="125">
        <v>7595</v>
      </c>
      <c r="M9" s="127">
        <v>27254328</v>
      </c>
      <c r="N9" s="12" t="s">
        <v>11</v>
      </c>
    </row>
    <row r="10" spans="1:14" ht="18.75" customHeight="1">
      <c r="A10" s="11" t="s">
        <v>12</v>
      </c>
      <c r="B10" s="125">
        <f>_xlfn.COMPOUNDVALUE(133)</f>
        <v>5492</v>
      </c>
      <c r="C10" s="126">
        <v>42296543</v>
      </c>
      <c r="D10" s="125">
        <f>_xlfn.COMPOUNDVALUE(134)</f>
        <v>2125</v>
      </c>
      <c r="E10" s="126">
        <v>1309912</v>
      </c>
      <c r="F10" s="125">
        <f>_xlfn.COMPOUNDVALUE(135)</f>
        <v>7617</v>
      </c>
      <c r="G10" s="126">
        <v>43606455</v>
      </c>
      <c r="H10" s="125">
        <f>_xlfn.COMPOUNDVALUE(136)</f>
        <v>432</v>
      </c>
      <c r="I10" s="127">
        <v>1289311</v>
      </c>
      <c r="J10" s="125">
        <v>383</v>
      </c>
      <c r="K10" s="127">
        <v>116859</v>
      </c>
      <c r="L10" s="125">
        <v>8120</v>
      </c>
      <c r="M10" s="127">
        <v>42434003</v>
      </c>
      <c r="N10" s="12" t="s">
        <v>12</v>
      </c>
    </row>
    <row r="11" spans="1:14" ht="18.75" customHeight="1">
      <c r="A11" s="11" t="s">
        <v>13</v>
      </c>
      <c r="B11" s="125">
        <f>_xlfn.COMPOUNDVALUE(137)</f>
        <v>4218</v>
      </c>
      <c r="C11" s="126">
        <v>31922847</v>
      </c>
      <c r="D11" s="125">
        <f>_xlfn.COMPOUNDVALUE(138)</f>
        <v>1561</v>
      </c>
      <c r="E11" s="126">
        <v>976293</v>
      </c>
      <c r="F11" s="125">
        <f>_xlfn.COMPOUNDVALUE(139)</f>
        <v>5779</v>
      </c>
      <c r="G11" s="126">
        <v>32899140</v>
      </c>
      <c r="H11" s="125">
        <f>_xlfn.COMPOUNDVALUE(140)</f>
        <v>213</v>
      </c>
      <c r="I11" s="127">
        <v>2163889</v>
      </c>
      <c r="J11" s="125">
        <v>368</v>
      </c>
      <c r="K11" s="127">
        <v>70708</v>
      </c>
      <c r="L11" s="125">
        <v>6044</v>
      </c>
      <c r="M11" s="127">
        <v>30805959</v>
      </c>
      <c r="N11" s="12" t="s">
        <v>13</v>
      </c>
    </row>
    <row r="12" spans="1:14" ht="18.75" customHeight="1">
      <c r="A12" s="11" t="s">
        <v>86</v>
      </c>
      <c r="B12" s="125">
        <f>_xlfn.COMPOUNDVALUE(141)</f>
        <v>3532</v>
      </c>
      <c r="C12" s="126">
        <v>17756782</v>
      </c>
      <c r="D12" s="125">
        <f>_xlfn.COMPOUNDVALUE(142)</f>
        <v>1540</v>
      </c>
      <c r="E12" s="126">
        <v>891955</v>
      </c>
      <c r="F12" s="125">
        <f>_xlfn.COMPOUNDVALUE(143)</f>
        <v>5072</v>
      </c>
      <c r="G12" s="126">
        <v>18648737</v>
      </c>
      <c r="H12" s="125">
        <f>_xlfn.COMPOUNDVALUE(144)</f>
        <v>157</v>
      </c>
      <c r="I12" s="127">
        <v>654323</v>
      </c>
      <c r="J12" s="125">
        <v>257</v>
      </c>
      <c r="K12" s="127">
        <v>78633</v>
      </c>
      <c r="L12" s="125">
        <v>5268</v>
      </c>
      <c r="M12" s="127">
        <v>18073047</v>
      </c>
      <c r="N12" s="12" t="s">
        <v>86</v>
      </c>
    </row>
    <row r="13" spans="1:14" ht="18.75" customHeight="1">
      <c r="A13" s="11" t="s">
        <v>14</v>
      </c>
      <c r="B13" s="125">
        <f>_xlfn.COMPOUNDVALUE(145)</f>
        <v>1305</v>
      </c>
      <c r="C13" s="126">
        <v>8114363</v>
      </c>
      <c r="D13" s="125">
        <f>_xlfn.COMPOUNDVALUE(146)</f>
        <v>529</v>
      </c>
      <c r="E13" s="126">
        <v>257664</v>
      </c>
      <c r="F13" s="125">
        <f>_xlfn.COMPOUNDVALUE(147)</f>
        <v>1834</v>
      </c>
      <c r="G13" s="126">
        <v>8372027</v>
      </c>
      <c r="H13" s="125">
        <f>_xlfn.COMPOUNDVALUE(148)</f>
        <v>135</v>
      </c>
      <c r="I13" s="127">
        <v>309251</v>
      </c>
      <c r="J13" s="125">
        <v>98</v>
      </c>
      <c r="K13" s="127">
        <v>32353</v>
      </c>
      <c r="L13" s="125">
        <v>1988</v>
      </c>
      <c r="M13" s="127">
        <v>8095130</v>
      </c>
      <c r="N13" s="12" t="s">
        <v>14</v>
      </c>
    </row>
    <row r="14" spans="1:14" ht="18.75" customHeight="1">
      <c r="A14" s="11" t="s">
        <v>15</v>
      </c>
      <c r="B14" s="125">
        <f>_xlfn.COMPOUNDVALUE(149)</f>
        <v>1381</v>
      </c>
      <c r="C14" s="126">
        <v>7435061</v>
      </c>
      <c r="D14" s="125">
        <f>_xlfn.COMPOUNDVALUE(150)</f>
        <v>678</v>
      </c>
      <c r="E14" s="126">
        <v>371216</v>
      </c>
      <c r="F14" s="125">
        <f>_xlfn.COMPOUNDVALUE(151)</f>
        <v>2059</v>
      </c>
      <c r="G14" s="126">
        <v>7806277</v>
      </c>
      <c r="H14" s="125">
        <f>_xlfn.COMPOUNDVALUE(152)</f>
        <v>71</v>
      </c>
      <c r="I14" s="127">
        <v>355289</v>
      </c>
      <c r="J14" s="125">
        <v>94</v>
      </c>
      <c r="K14" s="127">
        <v>33663</v>
      </c>
      <c r="L14" s="125">
        <v>2152</v>
      </c>
      <c r="M14" s="127">
        <v>7484651</v>
      </c>
      <c r="N14" s="12" t="s">
        <v>15</v>
      </c>
    </row>
    <row r="15" spans="1:14" s="15" customFormat="1" ht="18.75" customHeight="1">
      <c r="A15" s="11" t="s">
        <v>16</v>
      </c>
      <c r="B15" s="125">
        <f>_xlfn.COMPOUNDVALUE(153)</f>
        <v>2468</v>
      </c>
      <c r="C15" s="126">
        <v>11433629</v>
      </c>
      <c r="D15" s="125">
        <f>_xlfn.COMPOUNDVALUE(154)</f>
        <v>1074</v>
      </c>
      <c r="E15" s="126">
        <v>636318</v>
      </c>
      <c r="F15" s="125">
        <f>_xlfn.COMPOUNDVALUE(155)</f>
        <v>3542</v>
      </c>
      <c r="G15" s="126">
        <v>12069947</v>
      </c>
      <c r="H15" s="125">
        <f>_xlfn.COMPOUNDVALUE(156)</f>
        <v>104</v>
      </c>
      <c r="I15" s="127">
        <v>400441</v>
      </c>
      <c r="J15" s="125">
        <v>218</v>
      </c>
      <c r="K15" s="127">
        <v>54900</v>
      </c>
      <c r="L15" s="125">
        <v>3670</v>
      </c>
      <c r="M15" s="127">
        <v>11724406</v>
      </c>
      <c r="N15" s="12" t="s">
        <v>16</v>
      </c>
    </row>
    <row r="16" spans="1:14" s="21" customFormat="1" ht="18.75" customHeight="1">
      <c r="A16" s="11" t="s">
        <v>17</v>
      </c>
      <c r="B16" s="125">
        <f>_xlfn.COMPOUNDVALUE(157)</f>
        <v>1641</v>
      </c>
      <c r="C16" s="126">
        <v>9988431</v>
      </c>
      <c r="D16" s="125">
        <f>_xlfn.COMPOUNDVALUE(158)</f>
        <v>797</v>
      </c>
      <c r="E16" s="126">
        <v>438625</v>
      </c>
      <c r="F16" s="125">
        <f>_xlfn.COMPOUNDVALUE(159)</f>
        <v>2438</v>
      </c>
      <c r="G16" s="126">
        <v>10427055</v>
      </c>
      <c r="H16" s="125">
        <f>_xlfn.COMPOUNDVALUE(160)</f>
        <v>78</v>
      </c>
      <c r="I16" s="127">
        <v>336446</v>
      </c>
      <c r="J16" s="125">
        <v>152</v>
      </c>
      <c r="K16" s="127">
        <v>70360</v>
      </c>
      <c r="L16" s="125">
        <v>2546</v>
      </c>
      <c r="M16" s="127">
        <v>10160970</v>
      </c>
      <c r="N16" s="12" t="s">
        <v>17</v>
      </c>
    </row>
    <row r="17" spans="1:14" ht="18.75" customHeight="1">
      <c r="A17" s="11" t="s">
        <v>18</v>
      </c>
      <c r="B17" s="125">
        <f>_xlfn.COMPOUNDVALUE(161)</f>
        <v>2464</v>
      </c>
      <c r="C17" s="126">
        <v>12278473</v>
      </c>
      <c r="D17" s="125">
        <f>_xlfn.COMPOUNDVALUE(162)</f>
        <v>1042</v>
      </c>
      <c r="E17" s="126">
        <v>624767</v>
      </c>
      <c r="F17" s="125">
        <f>_xlfn.COMPOUNDVALUE(163)</f>
        <v>3506</v>
      </c>
      <c r="G17" s="126">
        <v>12903239</v>
      </c>
      <c r="H17" s="125">
        <f>_xlfn.COMPOUNDVALUE(164)</f>
        <v>122</v>
      </c>
      <c r="I17" s="127">
        <v>960508</v>
      </c>
      <c r="J17" s="125">
        <v>235</v>
      </c>
      <c r="K17" s="127">
        <v>63894</v>
      </c>
      <c r="L17" s="125">
        <v>3673</v>
      </c>
      <c r="M17" s="127">
        <v>12006625</v>
      </c>
      <c r="N17" s="12" t="s">
        <v>18</v>
      </c>
    </row>
    <row r="18" spans="1:14" ht="18.75" customHeight="1">
      <c r="A18" s="11" t="s">
        <v>19</v>
      </c>
      <c r="B18" s="125">
        <f>_xlfn.COMPOUNDVALUE(165)</f>
        <v>3593</v>
      </c>
      <c r="C18" s="126">
        <v>21019353</v>
      </c>
      <c r="D18" s="125">
        <f>_xlfn.COMPOUNDVALUE(166)</f>
        <v>1148</v>
      </c>
      <c r="E18" s="126">
        <v>684228</v>
      </c>
      <c r="F18" s="125">
        <f>_xlfn.COMPOUNDVALUE(167)</f>
        <v>4741</v>
      </c>
      <c r="G18" s="126">
        <v>21703581</v>
      </c>
      <c r="H18" s="125">
        <f>_xlfn.COMPOUNDVALUE(168)</f>
        <v>252</v>
      </c>
      <c r="I18" s="127">
        <v>2506122</v>
      </c>
      <c r="J18" s="125">
        <v>303</v>
      </c>
      <c r="K18" s="127">
        <v>2468</v>
      </c>
      <c r="L18" s="125">
        <v>5029</v>
      </c>
      <c r="M18" s="127">
        <v>19199927</v>
      </c>
      <c r="N18" s="12" t="s">
        <v>19</v>
      </c>
    </row>
    <row r="19" spans="1:14" ht="18.75" customHeight="1">
      <c r="A19" s="11" t="s">
        <v>20</v>
      </c>
      <c r="B19" s="125">
        <f>_xlfn.COMPOUNDVALUE(169)</f>
        <v>1370</v>
      </c>
      <c r="C19" s="126">
        <v>7047577</v>
      </c>
      <c r="D19" s="125">
        <f>_xlfn.COMPOUNDVALUE(170)</f>
        <v>541</v>
      </c>
      <c r="E19" s="126">
        <v>325095</v>
      </c>
      <c r="F19" s="125">
        <f>_xlfn.COMPOUNDVALUE(171)</f>
        <v>1911</v>
      </c>
      <c r="G19" s="126">
        <v>7372672</v>
      </c>
      <c r="H19" s="125">
        <f>_xlfn.COMPOUNDVALUE(172)</f>
        <v>85</v>
      </c>
      <c r="I19" s="127">
        <v>251818</v>
      </c>
      <c r="J19" s="125">
        <v>91</v>
      </c>
      <c r="K19" s="127">
        <v>37574</v>
      </c>
      <c r="L19" s="125">
        <v>2014</v>
      </c>
      <c r="M19" s="127">
        <v>7158428</v>
      </c>
      <c r="N19" s="12" t="s">
        <v>20</v>
      </c>
    </row>
    <row r="20" spans="1:14" ht="18.75" customHeight="1">
      <c r="A20" s="11" t="s">
        <v>21</v>
      </c>
      <c r="B20" s="125">
        <f>_xlfn.COMPOUNDVALUE(173)</f>
        <v>1497</v>
      </c>
      <c r="C20" s="126">
        <v>5864360</v>
      </c>
      <c r="D20" s="125">
        <f>_xlfn.COMPOUNDVALUE(174)</f>
        <v>684</v>
      </c>
      <c r="E20" s="126">
        <v>398297</v>
      </c>
      <c r="F20" s="125">
        <f>_xlfn.COMPOUNDVALUE(175)</f>
        <v>2181</v>
      </c>
      <c r="G20" s="126">
        <v>6262657</v>
      </c>
      <c r="H20" s="125">
        <f>_xlfn.COMPOUNDVALUE(176)</f>
        <v>112</v>
      </c>
      <c r="I20" s="127">
        <v>497929</v>
      </c>
      <c r="J20" s="125">
        <v>111</v>
      </c>
      <c r="K20" s="127">
        <v>10993</v>
      </c>
      <c r="L20" s="125">
        <v>2318</v>
      </c>
      <c r="M20" s="127">
        <v>5775721</v>
      </c>
      <c r="N20" s="12" t="s">
        <v>21</v>
      </c>
    </row>
    <row r="21" spans="1:14" ht="18.75" customHeight="1">
      <c r="A21" s="11" t="s">
        <v>22</v>
      </c>
      <c r="B21" s="125">
        <f>_xlfn.COMPOUNDVALUE(177)</f>
        <v>1050</v>
      </c>
      <c r="C21" s="126">
        <v>5446134</v>
      </c>
      <c r="D21" s="125">
        <f>_xlfn.COMPOUNDVALUE(178)</f>
        <v>358</v>
      </c>
      <c r="E21" s="126">
        <v>189859</v>
      </c>
      <c r="F21" s="125">
        <f>_xlfn.COMPOUNDVALUE(179)</f>
        <v>1408</v>
      </c>
      <c r="G21" s="126">
        <v>5635993</v>
      </c>
      <c r="H21" s="125">
        <f>_xlfn.COMPOUNDVALUE(180)</f>
        <v>108</v>
      </c>
      <c r="I21" s="127">
        <v>148014</v>
      </c>
      <c r="J21" s="125">
        <v>59</v>
      </c>
      <c r="K21" s="127">
        <v>603</v>
      </c>
      <c r="L21" s="125">
        <v>1534</v>
      </c>
      <c r="M21" s="127">
        <v>5488582</v>
      </c>
      <c r="N21" s="12" t="s">
        <v>22</v>
      </c>
    </row>
    <row r="22" spans="1:14" ht="18.75" customHeight="1">
      <c r="A22" s="11" t="s">
        <v>23</v>
      </c>
      <c r="B22" s="125">
        <f>_xlfn.COMPOUNDVALUE(181)</f>
        <v>462</v>
      </c>
      <c r="C22" s="126">
        <v>1891819</v>
      </c>
      <c r="D22" s="125">
        <f>_xlfn.COMPOUNDVALUE(182)</f>
        <v>197</v>
      </c>
      <c r="E22" s="126">
        <v>116632</v>
      </c>
      <c r="F22" s="125">
        <f>_xlfn.COMPOUNDVALUE(183)</f>
        <v>659</v>
      </c>
      <c r="G22" s="126">
        <v>2008450</v>
      </c>
      <c r="H22" s="125">
        <f>_xlfn.COMPOUNDVALUE(184)</f>
        <v>29</v>
      </c>
      <c r="I22" s="127">
        <v>73772</v>
      </c>
      <c r="J22" s="125">
        <v>31</v>
      </c>
      <c r="K22" s="127">
        <v>122</v>
      </c>
      <c r="L22" s="125">
        <v>692</v>
      </c>
      <c r="M22" s="127">
        <v>1934800</v>
      </c>
      <c r="N22" s="12" t="s">
        <v>23</v>
      </c>
    </row>
    <row r="23" spans="1:14" ht="18.75" customHeight="1">
      <c r="A23" s="11" t="s">
        <v>24</v>
      </c>
      <c r="B23" s="125">
        <f>_xlfn.COMPOUNDVALUE(185)</f>
        <v>2302</v>
      </c>
      <c r="C23" s="126">
        <v>15400204</v>
      </c>
      <c r="D23" s="125">
        <f>_xlfn.COMPOUNDVALUE(186)</f>
        <v>884</v>
      </c>
      <c r="E23" s="126">
        <v>547624</v>
      </c>
      <c r="F23" s="125">
        <f>_xlfn.COMPOUNDVALUE(187)</f>
        <v>3186</v>
      </c>
      <c r="G23" s="126">
        <v>15947828</v>
      </c>
      <c r="H23" s="125">
        <f>_xlfn.COMPOUNDVALUE(188)</f>
        <v>164</v>
      </c>
      <c r="I23" s="127">
        <v>3193707</v>
      </c>
      <c r="J23" s="125">
        <v>173</v>
      </c>
      <c r="K23" s="127">
        <v>-5297</v>
      </c>
      <c r="L23" s="125">
        <v>3376</v>
      </c>
      <c r="M23" s="127">
        <v>12748823</v>
      </c>
      <c r="N23" s="12" t="s">
        <v>24</v>
      </c>
    </row>
    <row r="24" spans="1:14" ht="18.75" customHeight="1">
      <c r="A24" s="13" t="s">
        <v>25</v>
      </c>
      <c r="B24" s="128">
        <f>_xlfn.COMPOUNDVALUE(189)</f>
        <v>977</v>
      </c>
      <c r="C24" s="129">
        <v>4380205</v>
      </c>
      <c r="D24" s="128">
        <f>_xlfn.COMPOUNDVALUE(190)</f>
        <v>277</v>
      </c>
      <c r="E24" s="129">
        <v>169785</v>
      </c>
      <c r="F24" s="128">
        <f>_xlfn.COMPOUNDVALUE(191)</f>
        <v>1254</v>
      </c>
      <c r="G24" s="129">
        <v>4549990</v>
      </c>
      <c r="H24" s="128">
        <f>_xlfn.COMPOUNDVALUE(192)</f>
        <v>77</v>
      </c>
      <c r="I24" s="130">
        <v>283079</v>
      </c>
      <c r="J24" s="128">
        <v>45</v>
      </c>
      <c r="K24" s="130">
        <v>-9504</v>
      </c>
      <c r="L24" s="128">
        <v>1339</v>
      </c>
      <c r="M24" s="130">
        <v>4257407</v>
      </c>
      <c r="N24" s="14" t="s">
        <v>25</v>
      </c>
    </row>
    <row r="25" spans="1:14" s="15" customFormat="1" ht="18.75" customHeight="1">
      <c r="A25" s="13" t="s">
        <v>26</v>
      </c>
      <c r="B25" s="128">
        <f>_xlfn.COMPOUNDVALUE(193)</f>
        <v>733</v>
      </c>
      <c r="C25" s="129">
        <v>3209619</v>
      </c>
      <c r="D25" s="128">
        <f>_xlfn.COMPOUNDVALUE(194)</f>
        <v>212</v>
      </c>
      <c r="E25" s="129">
        <v>121626</v>
      </c>
      <c r="F25" s="128">
        <f>_xlfn.COMPOUNDVALUE(195)</f>
        <v>945</v>
      </c>
      <c r="G25" s="129">
        <v>3331246</v>
      </c>
      <c r="H25" s="128">
        <f>_xlfn.COMPOUNDVALUE(196)</f>
        <v>47</v>
      </c>
      <c r="I25" s="130">
        <v>637352</v>
      </c>
      <c r="J25" s="128">
        <v>53</v>
      </c>
      <c r="K25" s="130">
        <v>32644</v>
      </c>
      <c r="L25" s="128">
        <v>1004</v>
      </c>
      <c r="M25" s="130">
        <v>2726537</v>
      </c>
      <c r="N25" s="14" t="s">
        <v>26</v>
      </c>
    </row>
    <row r="26" spans="1:14" s="21" customFormat="1" ht="18.75" customHeight="1">
      <c r="A26" s="13" t="s">
        <v>27</v>
      </c>
      <c r="B26" s="128">
        <f>_xlfn.COMPOUNDVALUE(197)</f>
        <v>635</v>
      </c>
      <c r="C26" s="129">
        <v>2500752</v>
      </c>
      <c r="D26" s="128">
        <f>_xlfn.COMPOUNDVALUE(198)</f>
        <v>240</v>
      </c>
      <c r="E26" s="129">
        <v>127938</v>
      </c>
      <c r="F26" s="128">
        <f>_xlfn.COMPOUNDVALUE(199)</f>
        <v>875</v>
      </c>
      <c r="G26" s="129">
        <v>2628690</v>
      </c>
      <c r="H26" s="128">
        <f>_xlfn.COMPOUNDVALUE(200)</f>
        <v>37</v>
      </c>
      <c r="I26" s="130">
        <v>63993</v>
      </c>
      <c r="J26" s="128">
        <v>19</v>
      </c>
      <c r="K26" s="130">
        <v>3299</v>
      </c>
      <c r="L26" s="128">
        <v>918</v>
      </c>
      <c r="M26" s="130">
        <v>2567996</v>
      </c>
      <c r="N26" s="14" t="s">
        <v>27</v>
      </c>
    </row>
    <row r="27" spans="1:14" ht="18.75" customHeight="1">
      <c r="A27" s="13" t="s">
        <v>28</v>
      </c>
      <c r="B27" s="128">
        <f>_xlfn.COMPOUNDVALUE(201)</f>
        <v>1205</v>
      </c>
      <c r="C27" s="129">
        <v>5111765</v>
      </c>
      <c r="D27" s="128">
        <f>_xlfn.COMPOUNDVALUE(202)</f>
        <v>371</v>
      </c>
      <c r="E27" s="129">
        <v>222104</v>
      </c>
      <c r="F27" s="128">
        <f>_xlfn.COMPOUNDVALUE(203)</f>
        <v>1576</v>
      </c>
      <c r="G27" s="129">
        <v>5333869</v>
      </c>
      <c r="H27" s="128">
        <f>_xlfn.COMPOUNDVALUE(204)</f>
        <v>87</v>
      </c>
      <c r="I27" s="130">
        <v>303096</v>
      </c>
      <c r="J27" s="128">
        <v>74</v>
      </c>
      <c r="K27" s="130">
        <v>16566</v>
      </c>
      <c r="L27" s="128">
        <v>1671</v>
      </c>
      <c r="M27" s="130">
        <v>5047339</v>
      </c>
      <c r="N27" s="14" t="s">
        <v>28</v>
      </c>
    </row>
    <row r="28" spans="1:14" ht="18.75" customHeight="1">
      <c r="A28" s="13" t="s">
        <v>29</v>
      </c>
      <c r="B28" s="128">
        <f>_xlfn.COMPOUNDVALUE(205)</f>
        <v>937</v>
      </c>
      <c r="C28" s="129">
        <v>5838668</v>
      </c>
      <c r="D28" s="128">
        <f>_xlfn.COMPOUNDVALUE(206)</f>
        <v>447</v>
      </c>
      <c r="E28" s="129">
        <v>249773</v>
      </c>
      <c r="F28" s="128">
        <f>_xlfn.COMPOUNDVALUE(207)</f>
        <v>1384</v>
      </c>
      <c r="G28" s="129">
        <v>6088441</v>
      </c>
      <c r="H28" s="128">
        <f>_xlfn.COMPOUNDVALUE(208)</f>
        <v>36</v>
      </c>
      <c r="I28" s="130">
        <v>98049</v>
      </c>
      <c r="J28" s="128">
        <v>84</v>
      </c>
      <c r="K28" s="130">
        <v>9140</v>
      </c>
      <c r="L28" s="128">
        <v>1427</v>
      </c>
      <c r="M28" s="130">
        <v>5999532</v>
      </c>
      <c r="N28" s="14" t="s">
        <v>29</v>
      </c>
    </row>
    <row r="29" spans="1:14" ht="18.75" customHeight="1">
      <c r="A29" s="13" t="s">
        <v>30</v>
      </c>
      <c r="B29" s="128">
        <f>_xlfn.COMPOUNDVALUE(209)</f>
        <v>371</v>
      </c>
      <c r="C29" s="129">
        <v>1449621</v>
      </c>
      <c r="D29" s="128">
        <f>_xlfn.COMPOUNDVALUE(210)</f>
        <v>132</v>
      </c>
      <c r="E29" s="129">
        <v>67673</v>
      </c>
      <c r="F29" s="128">
        <f>_xlfn.COMPOUNDVALUE(211)</f>
        <v>503</v>
      </c>
      <c r="G29" s="129">
        <v>1517294</v>
      </c>
      <c r="H29" s="128">
        <f>_xlfn.COMPOUNDVALUE(212)</f>
        <v>28</v>
      </c>
      <c r="I29" s="130">
        <v>16952</v>
      </c>
      <c r="J29" s="128">
        <v>83</v>
      </c>
      <c r="K29" s="130">
        <v>8552</v>
      </c>
      <c r="L29" s="128">
        <v>539</v>
      </c>
      <c r="M29" s="130">
        <v>1508894</v>
      </c>
      <c r="N29" s="14" t="s">
        <v>30</v>
      </c>
    </row>
    <row r="30" spans="1:14" ht="18.75" customHeight="1">
      <c r="A30" s="13" t="s">
        <v>31</v>
      </c>
      <c r="B30" s="128">
        <f>_xlfn.COMPOUNDVALUE(213)</f>
        <v>386</v>
      </c>
      <c r="C30" s="129">
        <v>1946222</v>
      </c>
      <c r="D30" s="128">
        <f>_xlfn.COMPOUNDVALUE(214)</f>
        <v>145</v>
      </c>
      <c r="E30" s="129">
        <v>81914</v>
      </c>
      <c r="F30" s="128">
        <f>_xlfn.COMPOUNDVALUE(215)</f>
        <v>531</v>
      </c>
      <c r="G30" s="129">
        <v>2028136</v>
      </c>
      <c r="H30" s="128">
        <f>_xlfn.COMPOUNDVALUE(216)</f>
        <v>30</v>
      </c>
      <c r="I30" s="130">
        <v>106586</v>
      </c>
      <c r="J30" s="128">
        <v>25</v>
      </c>
      <c r="K30" s="130">
        <v>16987</v>
      </c>
      <c r="L30" s="128">
        <v>567</v>
      </c>
      <c r="M30" s="130">
        <v>1938536</v>
      </c>
      <c r="N30" s="14" t="s">
        <v>31</v>
      </c>
    </row>
    <row r="31" spans="1:14" ht="18.75" customHeight="1">
      <c r="A31" s="13" t="s">
        <v>32</v>
      </c>
      <c r="B31" s="128">
        <f>_xlfn.COMPOUNDVALUE(217)</f>
        <v>594</v>
      </c>
      <c r="C31" s="129">
        <v>1835856</v>
      </c>
      <c r="D31" s="128">
        <f>_xlfn.COMPOUNDVALUE(218)</f>
        <v>246</v>
      </c>
      <c r="E31" s="129">
        <v>133372</v>
      </c>
      <c r="F31" s="128">
        <f>_xlfn.COMPOUNDVALUE(219)</f>
        <v>840</v>
      </c>
      <c r="G31" s="129">
        <v>1969227</v>
      </c>
      <c r="H31" s="128">
        <f>_xlfn.COMPOUNDVALUE(220)</f>
        <v>43</v>
      </c>
      <c r="I31" s="130">
        <v>184309</v>
      </c>
      <c r="J31" s="128">
        <v>45</v>
      </c>
      <c r="K31" s="130">
        <v>4232</v>
      </c>
      <c r="L31" s="128">
        <v>885</v>
      </c>
      <c r="M31" s="130">
        <v>1789150</v>
      </c>
      <c r="N31" s="14" t="s">
        <v>32</v>
      </c>
    </row>
    <row r="32" spans="1:14" ht="18.75" customHeight="1">
      <c r="A32" s="13" t="s">
        <v>33</v>
      </c>
      <c r="B32" s="128">
        <f>_xlfn.COMPOUNDVALUE(221)</f>
        <v>262</v>
      </c>
      <c r="C32" s="129">
        <v>811610</v>
      </c>
      <c r="D32" s="128">
        <f>_xlfn.COMPOUNDVALUE(222)</f>
        <v>120</v>
      </c>
      <c r="E32" s="129">
        <v>64366</v>
      </c>
      <c r="F32" s="128">
        <f>_xlfn.COMPOUNDVALUE(223)</f>
        <v>382</v>
      </c>
      <c r="G32" s="129">
        <v>875977</v>
      </c>
      <c r="H32" s="128">
        <f>_xlfn.COMPOUNDVALUE(224)</f>
        <v>11</v>
      </c>
      <c r="I32" s="130">
        <v>45880</v>
      </c>
      <c r="J32" s="128">
        <v>35</v>
      </c>
      <c r="K32" s="130">
        <v>2350</v>
      </c>
      <c r="L32" s="128">
        <v>393</v>
      </c>
      <c r="M32" s="130">
        <v>832446</v>
      </c>
      <c r="N32" s="14" t="s">
        <v>33</v>
      </c>
    </row>
    <row r="33" spans="1:14" ht="18.75" customHeight="1">
      <c r="A33" s="13" t="s">
        <v>34</v>
      </c>
      <c r="B33" s="128">
        <f>_xlfn.COMPOUNDVALUE(225)</f>
        <v>769</v>
      </c>
      <c r="C33" s="129">
        <v>3033294</v>
      </c>
      <c r="D33" s="128">
        <f>_xlfn.COMPOUNDVALUE(226)</f>
        <v>323</v>
      </c>
      <c r="E33" s="129">
        <v>187133</v>
      </c>
      <c r="F33" s="128">
        <f>_xlfn.COMPOUNDVALUE(227)</f>
        <v>1092</v>
      </c>
      <c r="G33" s="129">
        <v>3220427</v>
      </c>
      <c r="H33" s="128">
        <f>_xlfn.COMPOUNDVALUE(228)</f>
        <v>54</v>
      </c>
      <c r="I33" s="130">
        <v>505502</v>
      </c>
      <c r="J33" s="128">
        <v>51</v>
      </c>
      <c r="K33" s="130">
        <v>38467</v>
      </c>
      <c r="L33" s="128">
        <v>1155</v>
      </c>
      <c r="M33" s="130">
        <v>2753392</v>
      </c>
      <c r="N33" s="14" t="s">
        <v>34</v>
      </c>
    </row>
    <row r="34" spans="1:14" ht="18.75" customHeight="1">
      <c r="A34" s="13" t="s">
        <v>35</v>
      </c>
      <c r="B34" s="128">
        <f>_xlfn.COMPOUNDVALUE(229)</f>
        <v>299</v>
      </c>
      <c r="C34" s="129">
        <v>3238219</v>
      </c>
      <c r="D34" s="128">
        <f>_xlfn.COMPOUNDVALUE(230)</f>
        <v>124</v>
      </c>
      <c r="E34" s="129">
        <v>68352</v>
      </c>
      <c r="F34" s="128">
        <f>_xlfn.COMPOUNDVALUE(231)</f>
        <v>423</v>
      </c>
      <c r="G34" s="129">
        <v>3306571</v>
      </c>
      <c r="H34" s="128">
        <f>_xlfn.COMPOUNDVALUE(232)</f>
        <v>41</v>
      </c>
      <c r="I34" s="130">
        <v>52194</v>
      </c>
      <c r="J34" s="128">
        <v>33</v>
      </c>
      <c r="K34" s="130">
        <v>9806</v>
      </c>
      <c r="L34" s="128">
        <v>470</v>
      </c>
      <c r="M34" s="130">
        <v>3264184</v>
      </c>
      <c r="N34" s="14" t="s">
        <v>35</v>
      </c>
    </row>
    <row r="35" spans="1:14" s="15" customFormat="1" ht="18.75" customHeight="1">
      <c r="A35" s="13" t="s">
        <v>36</v>
      </c>
      <c r="B35" s="128">
        <f>_xlfn.COMPOUNDVALUE(233)</f>
        <v>700</v>
      </c>
      <c r="C35" s="129">
        <v>2857860</v>
      </c>
      <c r="D35" s="128">
        <f>_xlfn.COMPOUNDVALUE(234)</f>
        <v>329</v>
      </c>
      <c r="E35" s="129">
        <v>184198</v>
      </c>
      <c r="F35" s="128">
        <f>_xlfn.COMPOUNDVALUE(235)</f>
        <v>1029</v>
      </c>
      <c r="G35" s="129">
        <v>3042057</v>
      </c>
      <c r="H35" s="128">
        <f>_xlfn.COMPOUNDVALUE(236)</f>
        <v>48</v>
      </c>
      <c r="I35" s="130">
        <v>251924</v>
      </c>
      <c r="J35" s="128">
        <v>55</v>
      </c>
      <c r="K35" s="130">
        <v>53</v>
      </c>
      <c r="L35" s="128">
        <v>1080</v>
      </c>
      <c r="M35" s="130">
        <v>2790186</v>
      </c>
      <c r="N35" s="14" t="s">
        <v>36</v>
      </c>
    </row>
    <row r="36" spans="1:14" s="21" customFormat="1" ht="18.75" customHeight="1" thickBot="1">
      <c r="A36" s="87" t="s">
        <v>37</v>
      </c>
      <c r="B36" s="131">
        <f>_xlfn.COMPOUNDVALUE(237)</f>
        <v>408</v>
      </c>
      <c r="C36" s="132">
        <v>1673045</v>
      </c>
      <c r="D36" s="131">
        <f>_xlfn.COMPOUNDVALUE(238)</f>
        <v>149</v>
      </c>
      <c r="E36" s="132">
        <v>80968</v>
      </c>
      <c r="F36" s="131">
        <f>_xlfn.COMPOUNDVALUE(239)</f>
        <v>557</v>
      </c>
      <c r="G36" s="132">
        <v>1754014</v>
      </c>
      <c r="H36" s="131">
        <f>_xlfn.COMPOUNDVALUE(240)</f>
        <v>33</v>
      </c>
      <c r="I36" s="133">
        <v>65533</v>
      </c>
      <c r="J36" s="131">
        <v>24</v>
      </c>
      <c r="K36" s="133">
        <v>5676</v>
      </c>
      <c r="L36" s="131">
        <v>597</v>
      </c>
      <c r="M36" s="133">
        <v>1694157</v>
      </c>
      <c r="N36" s="85" t="s">
        <v>37</v>
      </c>
    </row>
    <row r="37" spans="1:14" ht="18.75" customHeight="1" thickBot="1" thickTop="1">
      <c r="A37" s="16" t="s">
        <v>44</v>
      </c>
      <c r="B37" s="134">
        <v>55941</v>
      </c>
      <c r="C37" s="135">
        <v>367378794</v>
      </c>
      <c r="D37" s="134">
        <v>21866</v>
      </c>
      <c r="E37" s="135">
        <v>12953502</v>
      </c>
      <c r="F37" s="134">
        <v>77807</v>
      </c>
      <c r="G37" s="135">
        <v>380332297</v>
      </c>
      <c r="H37" s="134">
        <v>3591</v>
      </c>
      <c r="I37" s="136">
        <v>21235798</v>
      </c>
      <c r="J37" s="134">
        <v>4585</v>
      </c>
      <c r="K37" s="136">
        <v>1179261</v>
      </c>
      <c r="L37" s="134">
        <v>82129</v>
      </c>
      <c r="M37" s="136">
        <v>360275759</v>
      </c>
      <c r="N37" s="17" t="str">
        <f>IF(A37="","",A37)</f>
        <v>合　　計</v>
      </c>
    </row>
    <row r="38" spans="1:14" s="21" customFormat="1" ht="3" customHeight="1">
      <c r="A38" s="31"/>
      <c r="B38" s="32"/>
      <c r="C38" s="32"/>
      <c r="D38" s="32"/>
      <c r="E38" s="32"/>
      <c r="F38" s="32"/>
      <c r="G38" s="32"/>
      <c r="H38" s="32"/>
      <c r="I38" s="32"/>
      <c r="J38" s="32"/>
      <c r="K38" s="32"/>
      <c r="L38" s="32"/>
      <c r="M38" s="32"/>
      <c r="N38" s="31"/>
    </row>
    <row r="39" spans="1:14" ht="13.5">
      <c r="A39" s="175" t="s">
        <v>111</v>
      </c>
      <c r="B39" s="175"/>
      <c r="C39" s="175"/>
      <c r="D39" s="175"/>
      <c r="E39" s="175"/>
      <c r="F39" s="175"/>
      <c r="G39" s="175"/>
      <c r="H39" s="175"/>
      <c r="I39" s="175"/>
      <c r="J39" s="18"/>
      <c r="K39" s="18"/>
      <c r="L39" s="2"/>
      <c r="M39" s="2"/>
      <c r="N39" s="2"/>
    </row>
  </sheetData>
  <sheetProtection/>
  <mergeCells count="11">
    <mergeCell ref="L3:M4"/>
    <mergeCell ref="A39:I39"/>
    <mergeCell ref="A2:I2"/>
    <mergeCell ref="A3:A5"/>
    <mergeCell ref="B3:G3"/>
    <mergeCell ref="H3:I4"/>
    <mergeCell ref="N3:N5"/>
    <mergeCell ref="B4:C4"/>
    <mergeCell ref="D4:E4"/>
    <mergeCell ref="F4:G4"/>
    <mergeCell ref="J3:K4"/>
  </mergeCells>
  <printOptions horizontalCentered="1"/>
  <pageMargins left="0.7874015748031497" right="0.7874015748031497" top="0.9055118110236221" bottom="0.5905511811023623" header="0.5118110236220472" footer="0.31496062992125984"/>
  <pageSetup fitToHeight="0" horizontalDpi="600" verticalDpi="600" orientation="landscape" paperSize="9" scale="75" r:id="rId1"/>
  <headerFooter alignWithMargins="0">
    <oddFooter>&amp;R札幌国税局　
消費税
（H27）</oddFooter>
  </headerFooter>
</worksheet>
</file>

<file path=xl/worksheets/sheet6.xml><?xml version="1.0" encoding="utf-8"?>
<worksheet xmlns="http://schemas.openxmlformats.org/spreadsheetml/2006/main" xmlns:r="http://schemas.openxmlformats.org/officeDocument/2006/relationships">
  <dimension ref="A1:R40"/>
  <sheetViews>
    <sheetView view="pageBreakPreview" zoomScaleSheetLayoutView="100" zoomScalePageLayoutView="0" workbookViewId="0" topLeftCell="A1">
      <selection activeCell="A1" sqref="A1"/>
    </sheetView>
  </sheetViews>
  <sheetFormatPr defaultColWidth="9.140625" defaultRowHeight="15"/>
  <cols>
    <col min="1" max="1" width="11.57421875" style="3" customWidth="1"/>
    <col min="2" max="2" width="8.57421875" style="3" customWidth="1"/>
    <col min="3" max="3" width="10.57421875" style="3" customWidth="1"/>
    <col min="4" max="4" width="8.57421875" style="3" customWidth="1"/>
    <col min="5" max="5" width="10.57421875" style="3" customWidth="1"/>
    <col min="6" max="6" width="8.57421875" style="3" customWidth="1"/>
    <col min="7" max="7" width="11.57421875" style="3" customWidth="1"/>
    <col min="8" max="8" width="8.57421875" style="3" customWidth="1"/>
    <col min="9" max="9" width="11.57421875" style="3" customWidth="1"/>
    <col min="10" max="10" width="8.57421875" style="3" customWidth="1"/>
    <col min="11" max="11" width="11.57421875" style="3" customWidth="1"/>
    <col min="12" max="12" width="8.57421875" style="3" customWidth="1"/>
    <col min="13" max="13" width="12.00390625" style="3" customWidth="1"/>
    <col min="14" max="17" width="10.00390625" style="3" customWidth="1"/>
    <col min="18" max="18" width="11.57421875" style="3" customWidth="1"/>
    <col min="19" max="16384" width="9.00390625" style="3" customWidth="1"/>
  </cols>
  <sheetData>
    <row r="1" spans="1:16" ht="13.5">
      <c r="A1" s="1" t="s">
        <v>103</v>
      </c>
      <c r="B1" s="1"/>
      <c r="C1" s="1"/>
      <c r="D1" s="1"/>
      <c r="E1" s="1"/>
      <c r="F1" s="1"/>
      <c r="G1" s="1"/>
      <c r="H1" s="1"/>
      <c r="I1" s="1"/>
      <c r="J1" s="1"/>
      <c r="K1" s="1"/>
      <c r="L1" s="2"/>
      <c r="M1" s="2"/>
      <c r="N1" s="2"/>
      <c r="O1" s="2"/>
      <c r="P1" s="2"/>
    </row>
    <row r="2" spans="1:16" ht="14.25" thickBot="1">
      <c r="A2" s="193" t="s">
        <v>41</v>
      </c>
      <c r="B2" s="193"/>
      <c r="C2" s="193"/>
      <c r="D2" s="193"/>
      <c r="E2" s="193"/>
      <c r="F2" s="193"/>
      <c r="G2" s="193"/>
      <c r="H2" s="193"/>
      <c r="I2" s="193"/>
      <c r="J2" s="18"/>
      <c r="K2" s="18"/>
      <c r="L2" s="2"/>
      <c r="M2" s="2"/>
      <c r="N2" s="2"/>
      <c r="O2" s="2"/>
      <c r="P2" s="2"/>
    </row>
    <row r="3" spans="1:18" ht="19.5" customHeight="1">
      <c r="A3" s="177" t="s">
        <v>77</v>
      </c>
      <c r="B3" s="180" t="s">
        <v>82</v>
      </c>
      <c r="C3" s="180"/>
      <c r="D3" s="180"/>
      <c r="E3" s="180"/>
      <c r="F3" s="180"/>
      <c r="G3" s="180"/>
      <c r="H3" s="180" t="s">
        <v>1</v>
      </c>
      <c r="I3" s="180"/>
      <c r="J3" s="205" t="s">
        <v>2</v>
      </c>
      <c r="K3" s="180"/>
      <c r="L3" s="180" t="s">
        <v>3</v>
      </c>
      <c r="M3" s="180"/>
      <c r="N3" s="195" t="s">
        <v>89</v>
      </c>
      <c r="O3" s="196"/>
      <c r="P3" s="196"/>
      <c r="Q3" s="197"/>
      <c r="R3" s="185" t="s">
        <v>40</v>
      </c>
    </row>
    <row r="4" spans="1:18" ht="17.25" customHeight="1">
      <c r="A4" s="178"/>
      <c r="B4" s="188" t="s">
        <v>78</v>
      </c>
      <c r="C4" s="188"/>
      <c r="D4" s="188" t="s">
        <v>5</v>
      </c>
      <c r="E4" s="188"/>
      <c r="F4" s="188" t="s">
        <v>6</v>
      </c>
      <c r="G4" s="188"/>
      <c r="H4" s="188"/>
      <c r="I4" s="188"/>
      <c r="J4" s="188"/>
      <c r="K4" s="188"/>
      <c r="L4" s="188"/>
      <c r="M4" s="188"/>
      <c r="N4" s="198" t="s">
        <v>42</v>
      </c>
      <c r="O4" s="200" t="s">
        <v>90</v>
      </c>
      <c r="P4" s="202" t="s">
        <v>91</v>
      </c>
      <c r="Q4" s="184" t="s">
        <v>43</v>
      </c>
      <c r="R4" s="186"/>
    </row>
    <row r="5" spans="1:18" ht="28.5" customHeight="1">
      <c r="A5" s="179"/>
      <c r="B5" s="86" t="s">
        <v>79</v>
      </c>
      <c r="C5" s="26" t="s">
        <v>80</v>
      </c>
      <c r="D5" s="86" t="s">
        <v>79</v>
      </c>
      <c r="E5" s="26" t="s">
        <v>80</v>
      </c>
      <c r="F5" s="86" t="s">
        <v>79</v>
      </c>
      <c r="G5" s="26" t="s">
        <v>81</v>
      </c>
      <c r="H5" s="86" t="s">
        <v>79</v>
      </c>
      <c r="I5" s="26" t="s">
        <v>83</v>
      </c>
      <c r="J5" s="86" t="s">
        <v>79</v>
      </c>
      <c r="K5" s="26" t="s">
        <v>84</v>
      </c>
      <c r="L5" s="86" t="s">
        <v>79</v>
      </c>
      <c r="M5" s="22" t="s">
        <v>88</v>
      </c>
      <c r="N5" s="199"/>
      <c r="O5" s="201"/>
      <c r="P5" s="203"/>
      <c r="Q5" s="204"/>
      <c r="R5" s="187"/>
    </row>
    <row r="6" spans="1:18" s="20" customFormat="1" ht="10.5">
      <c r="A6" s="5"/>
      <c r="B6" s="6" t="s">
        <v>7</v>
      </c>
      <c r="C6" s="7" t="s">
        <v>8</v>
      </c>
      <c r="D6" s="6" t="s">
        <v>7</v>
      </c>
      <c r="E6" s="7" t="s">
        <v>8</v>
      </c>
      <c r="F6" s="6" t="s">
        <v>7</v>
      </c>
      <c r="G6" s="7" t="s">
        <v>8</v>
      </c>
      <c r="H6" s="6" t="s">
        <v>7</v>
      </c>
      <c r="I6" s="7" t="s">
        <v>8</v>
      </c>
      <c r="J6" s="6" t="s">
        <v>7</v>
      </c>
      <c r="K6" s="7" t="s">
        <v>8</v>
      </c>
      <c r="L6" s="6" t="s">
        <v>7</v>
      </c>
      <c r="M6" s="7" t="s">
        <v>8</v>
      </c>
      <c r="N6" s="6" t="s">
        <v>7</v>
      </c>
      <c r="O6" s="23" t="s">
        <v>7</v>
      </c>
      <c r="P6" s="23" t="s">
        <v>7</v>
      </c>
      <c r="Q6" s="24" t="s">
        <v>7</v>
      </c>
      <c r="R6" s="9"/>
    </row>
    <row r="7" spans="1:18" ht="18.75" customHeight="1">
      <c r="A7" s="11" t="s">
        <v>9</v>
      </c>
      <c r="B7" s="125">
        <f>_xlfn.COMPOUNDVALUE(241)</f>
        <v>3686</v>
      </c>
      <c r="C7" s="126">
        <v>56042330</v>
      </c>
      <c r="D7" s="125">
        <f>_xlfn.COMPOUNDVALUE(242)</f>
        <v>1182</v>
      </c>
      <c r="E7" s="126">
        <v>853461</v>
      </c>
      <c r="F7" s="125">
        <f>_xlfn.COMPOUNDVALUE(243)</f>
        <v>4868</v>
      </c>
      <c r="G7" s="126">
        <v>56895791</v>
      </c>
      <c r="H7" s="125">
        <f>_xlfn.COMPOUNDVALUE(244)</f>
        <v>288</v>
      </c>
      <c r="I7" s="127">
        <v>2913141</v>
      </c>
      <c r="J7" s="125">
        <v>482</v>
      </c>
      <c r="K7" s="127">
        <v>198393</v>
      </c>
      <c r="L7" s="125">
        <v>5233</v>
      </c>
      <c r="M7" s="127">
        <v>54181043</v>
      </c>
      <c r="N7" s="125">
        <v>5249</v>
      </c>
      <c r="O7" s="137">
        <v>182</v>
      </c>
      <c r="P7" s="137">
        <v>42</v>
      </c>
      <c r="Q7" s="138">
        <v>5473</v>
      </c>
      <c r="R7" s="12" t="str">
        <f aca="true" t="shared" si="0" ref="R7:R37">IF(A7="","",A7)</f>
        <v>札幌中</v>
      </c>
    </row>
    <row r="8" spans="1:18" ht="18.75" customHeight="1">
      <c r="A8" s="11" t="s">
        <v>10</v>
      </c>
      <c r="B8" s="125">
        <f>_xlfn.COMPOUNDVALUE(245)</f>
        <v>7607</v>
      </c>
      <c r="C8" s="126">
        <v>49338975</v>
      </c>
      <c r="D8" s="125">
        <f>_xlfn.COMPOUNDVALUE(246)</f>
        <v>4451</v>
      </c>
      <c r="E8" s="126">
        <v>2250742</v>
      </c>
      <c r="F8" s="125">
        <f>_xlfn.COMPOUNDVALUE(247)</f>
        <v>12058</v>
      </c>
      <c r="G8" s="126">
        <v>51589717</v>
      </c>
      <c r="H8" s="125">
        <f>_xlfn.COMPOUNDVALUE(248)</f>
        <v>509</v>
      </c>
      <c r="I8" s="127">
        <v>1386256</v>
      </c>
      <c r="J8" s="125">
        <v>938</v>
      </c>
      <c r="K8" s="127">
        <v>210433</v>
      </c>
      <c r="L8" s="125">
        <v>12880</v>
      </c>
      <c r="M8" s="127">
        <v>50413894</v>
      </c>
      <c r="N8" s="125">
        <v>13076</v>
      </c>
      <c r="O8" s="137">
        <v>322</v>
      </c>
      <c r="P8" s="137">
        <v>34</v>
      </c>
      <c r="Q8" s="138">
        <v>13432</v>
      </c>
      <c r="R8" s="14" t="str">
        <f t="shared" si="0"/>
        <v>札幌北</v>
      </c>
    </row>
    <row r="9" spans="1:18" ht="18.75" customHeight="1">
      <c r="A9" s="11" t="s">
        <v>11</v>
      </c>
      <c r="B9" s="125">
        <f>_xlfn.COMPOUNDVALUE(249)</f>
        <v>6066</v>
      </c>
      <c r="C9" s="126">
        <v>27647859</v>
      </c>
      <c r="D9" s="125">
        <f>_xlfn.COMPOUNDVALUE(250)</f>
        <v>3673</v>
      </c>
      <c r="E9" s="126">
        <v>1934771</v>
      </c>
      <c r="F9" s="125">
        <f>_xlfn.COMPOUNDVALUE(251)</f>
        <v>9739</v>
      </c>
      <c r="G9" s="126">
        <v>29582630</v>
      </c>
      <c r="H9" s="125">
        <f>_xlfn.COMPOUNDVALUE(252)</f>
        <v>397</v>
      </c>
      <c r="I9" s="127">
        <v>1300722</v>
      </c>
      <c r="J9" s="125">
        <v>731</v>
      </c>
      <c r="K9" s="127">
        <v>236804</v>
      </c>
      <c r="L9" s="125">
        <v>10351</v>
      </c>
      <c r="M9" s="127">
        <v>28518711</v>
      </c>
      <c r="N9" s="125">
        <v>10599</v>
      </c>
      <c r="O9" s="137">
        <v>254</v>
      </c>
      <c r="P9" s="137">
        <v>38</v>
      </c>
      <c r="Q9" s="138">
        <v>10891</v>
      </c>
      <c r="R9" s="14" t="str">
        <f t="shared" si="0"/>
        <v>札幌南</v>
      </c>
    </row>
    <row r="10" spans="1:18" ht="18.75" customHeight="1">
      <c r="A10" s="11" t="s">
        <v>12</v>
      </c>
      <c r="B10" s="125">
        <f>_xlfn.COMPOUNDVALUE(253)</f>
        <v>6568</v>
      </c>
      <c r="C10" s="126">
        <v>43060552</v>
      </c>
      <c r="D10" s="125">
        <f>_xlfn.COMPOUNDVALUE(254)</f>
        <v>3505</v>
      </c>
      <c r="E10" s="126">
        <v>1991747</v>
      </c>
      <c r="F10" s="125">
        <f>_xlfn.COMPOUNDVALUE(255)</f>
        <v>10073</v>
      </c>
      <c r="G10" s="126">
        <v>45052299</v>
      </c>
      <c r="H10" s="125">
        <f>_xlfn.COMPOUNDVALUE(256)</f>
        <v>495</v>
      </c>
      <c r="I10" s="127">
        <v>1351664</v>
      </c>
      <c r="J10" s="125">
        <v>605</v>
      </c>
      <c r="K10" s="127">
        <v>180537</v>
      </c>
      <c r="L10" s="125">
        <v>10758</v>
      </c>
      <c r="M10" s="127">
        <v>43881171</v>
      </c>
      <c r="N10" s="125">
        <v>10838</v>
      </c>
      <c r="O10" s="137">
        <v>350</v>
      </c>
      <c r="P10" s="137">
        <v>52</v>
      </c>
      <c r="Q10" s="138">
        <v>11240</v>
      </c>
      <c r="R10" s="14" t="str">
        <f t="shared" si="0"/>
        <v>札幌西</v>
      </c>
    </row>
    <row r="11" spans="1:18" ht="18.75" customHeight="1">
      <c r="A11" s="11" t="s">
        <v>13</v>
      </c>
      <c r="B11" s="125">
        <f>_xlfn.COMPOUNDVALUE(257)</f>
        <v>4881</v>
      </c>
      <c r="C11" s="126">
        <v>32298608</v>
      </c>
      <c r="D11" s="125">
        <f>_xlfn.COMPOUNDVALUE(258)</f>
        <v>2582</v>
      </c>
      <c r="E11" s="126">
        <v>1391525</v>
      </c>
      <c r="F11" s="125">
        <f>_xlfn.COMPOUNDVALUE(259)</f>
        <v>7463</v>
      </c>
      <c r="G11" s="126">
        <v>33690132</v>
      </c>
      <c r="H11" s="125">
        <f>_xlfn.COMPOUNDVALUE(260)</f>
        <v>257</v>
      </c>
      <c r="I11" s="127">
        <v>2200898</v>
      </c>
      <c r="J11" s="125">
        <v>533</v>
      </c>
      <c r="K11" s="127">
        <v>96945</v>
      </c>
      <c r="L11" s="125">
        <v>7867</v>
      </c>
      <c r="M11" s="127">
        <v>31586179</v>
      </c>
      <c r="N11" s="125">
        <v>7999</v>
      </c>
      <c r="O11" s="137">
        <v>176</v>
      </c>
      <c r="P11" s="137">
        <v>27</v>
      </c>
      <c r="Q11" s="138">
        <v>8202</v>
      </c>
      <c r="R11" s="14" t="str">
        <f t="shared" si="0"/>
        <v>札幌東</v>
      </c>
    </row>
    <row r="12" spans="1:18" ht="18.75" customHeight="1">
      <c r="A12" s="11" t="s">
        <v>104</v>
      </c>
      <c r="B12" s="125">
        <f>_xlfn.COMPOUNDVALUE(261)</f>
        <v>4533</v>
      </c>
      <c r="C12" s="126">
        <v>18317479</v>
      </c>
      <c r="D12" s="125">
        <f>_xlfn.COMPOUNDVALUE(262)</f>
        <v>3973</v>
      </c>
      <c r="E12" s="126">
        <v>1801573</v>
      </c>
      <c r="F12" s="125">
        <f>_xlfn.COMPOUNDVALUE(263)</f>
        <v>8506</v>
      </c>
      <c r="G12" s="126">
        <v>20119052</v>
      </c>
      <c r="H12" s="125">
        <f>_xlfn.COMPOUNDVALUE(264)</f>
        <v>186</v>
      </c>
      <c r="I12" s="127">
        <v>668480</v>
      </c>
      <c r="J12" s="125">
        <v>440</v>
      </c>
      <c r="K12" s="127">
        <v>105100</v>
      </c>
      <c r="L12" s="125">
        <v>8812</v>
      </c>
      <c r="M12" s="127">
        <v>19555673</v>
      </c>
      <c r="N12" s="125">
        <v>8795</v>
      </c>
      <c r="O12" s="137">
        <v>167</v>
      </c>
      <c r="P12" s="137">
        <v>9</v>
      </c>
      <c r="Q12" s="138">
        <v>8971</v>
      </c>
      <c r="R12" s="14" t="str">
        <f t="shared" si="0"/>
        <v>函館</v>
      </c>
    </row>
    <row r="13" spans="1:18" ht="18.75" customHeight="1">
      <c r="A13" s="11" t="s">
        <v>14</v>
      </c>
      <c r="B13" s="125">
        <f>_xlfn.COMPOUNDVALUE(265)</f>
        <v>1545</v>
      </c>
      <c r="C13" s="126">
        <v>8218868</v>
      </c>
      <c r="D13" s="125">
        <f>_xlfn.COMPOUNDVALUE(266)</f>
        <v>891</v>
      </c>
      <c r="E13" s="126">
        <v>382405</v>
      </c>
      <c r="F13" s="125">
        <f>_xlfn.COMPOUNDVALUE(267)</f>
        <v>2436</v>
      </c>
      <c r="G13" s="126">
        <v>8601273</v>
      </c>
      <c r="H13" s="125">
        <f>_xlfn.COMPOUNDVALUE(268)</f>
        <v>153</v>
      </c>
      <c r="I13" s="127">
        <v>315912</v>
      </c>
      <c r="J13" s="125">
        <v>171</v>
      </c>
      <c r="K13" s="127">
        <v>39837</v>
      </c>
      <c r="L13" s="125">
        <v>2632</v>
      </c>
      <c r="M13" s="127">
        <v>8325198</v>
      </c>
      <c r="N13" s="125">
        <v>2522</v>
      </c>
      <c r="O13" s="137">
        <v>84</v>
      </c>
      <c r="P13" s="137">
        <v>10</v>
      </c>
      <c r="Q13" s="138">
        <v>2616</v>
      </c>
      <c r="R13" s="14" t="str">
        <f t="shared" si="0"/>
        <v>小樽</v>
      </c>
    </row>
    <row r="14" spans="1:18" ht="18.75" customHeight="1">
      <c r="A14" s="11" t="s">
        <v>15</v>
      </c>
      <c r="B14" s="125">
        <f>_xlfn.COMPOUNDVALUE(269)</f>
        <v>1659</v>
      </c>
      <c r="C14" s="126">
        <v>7583083</v>
      </c>
      <c r="D14" s="125">
        <f>_xlfn.COMPOUNDVALUE(270)</f>
        <v>1322</v>
      </c>
      <c r="E14" s="126">
        <v>637187</v>
      </c>
      <c r="F14" s="125">
        <f>_xlfn.COMPOUNDVALUE(271)</f>
        <v>2981</v>
      </c>
      <c r="G14" s="126">
        <v>8220270</v>
      </c>
      <c r="H14" s="125">
        <f>_xlfn.COMPOUNDVALUE(272)</f>
        <v>85</v>
      </c>
      <c r="I14" s="127">
        <v>362149</v>
      </c>
      <c r="J14" s="125">
        <v>141</v>
      </c>
      <c r="K14" s="127">
        <v>40415</v>
      </c>
      <c r="L14" s="125">
        <v>3106</v>
      </c>
      <c r="M14" s="127">
        <v>7898536</v>
      </c>
      <c r="N14" s="125">
        <v>3077</v>
      </c>
      <c r="O14" s="137">
        <v>83</v>
      </c>
      <c r="P14" s="137">
        <v>9</v>
      </c>
      <c r="Q14" s="138">
        <v>3169</v>
      </c>
      <c r="R14" s="14" t="str">
        <f t="shared" si="0"/>
        <v>旭川中</v>
      </c>
    </row>
    <row r="15" spans="1:18" ht="18.75" customHeight="1">
      <c r="A15" s="11" t="s">
        <v>16</v>
      </c>
      <c r="B15" s="125">
        <f>_xlfn.COMPOUNDVALUE(273)</f>
        <v>3185</v>
      </c>
      <c r="C15" s="126">
        <v>11802857</v>
      </c>
      <c r="D15" s="125">
        <f>_xlfn.COMPOUNDVALUE(274)</f>
        <v>2678</v>
      </c>
      <c r="E15" s="126">
        <v>1191734</v>
      </c>
      <c r="F15" s="125">
        <f>_xlfn.COMPOUNDVALUE(275)</f>
        <v>5863</v>
      </c>
      <c r="G15" s="126">
        <v>12994592</v>
      </c>
      <c r="H15" s="125">
        <f>_xlfn.COMPOUNDVALUE(276)</f>
        <v>167</v>
      </c>
      <c r="I15" s="127">
        <v>423672</v>
      </c>
      <c r="J15" s="125">
        <v>443</v>
      </c>
      <c r="K15" s="127">
        <v>96154</v>
      </c>
      <c r="L15" s="125">
        <v>6110</v>
      </c>
      <c r="M15" s="127">
        <v>12667074</v>
      </c>
      <c r="N15" s="125">
        <v>6014</v>
      </c>
      <c r="O15" s="137">
        <v>132</v>
      </c>
      <c r="P15" s="137">
        <v>11</v>
      </c>
      <c r="Q15" s="138">
        <v>6157</v>
      </c>
      <c r="R15" s="14" t="str">
        <f t="shared" si="0"/>
        <v>旭川東</v>
      </c>
    </row>
    <row r="16" spans="1:18" ht="18.75" customHeight="1">
      <c r="A16" s="11" t="s">
        <v>17</v>
      </c>
      <c r="B16" s="125">
        <f>_xlfn.COMPOUNDVALUE(277)</f>
        <v>2009</v>
      </c>
      <c r="C16" s="126">
        <v>10203821</v>
      </c>
      <c r="D16" s="125">
        <f>_xlfn.COMPOUNDVALUE(278)</f>
        <v>1746</v>
      </c>
      <c r="E16" s="126">
        <v>853944</v>
      </c>
      <c r="F16" s="125">
        <f>_xlfn.COMPOUNDVALUE(279)</f>
        <v>3755</v>
      </c>
      <c r="G16" s="126">
        <v>11057765</v>
      </c>
      <c r="H16" s="125">
        <f>_xlfn.COMPOUNDVALUE(280)</f>
        <v>92</v>
      </c>
      <c r="I16" s="127">
        <v>345833</v>
      </c>
      <c r="J16" s="125">
        <v>262</v>
      </c>
      <c r="K16" s="127">
        <v>85571</v>
      </c>
      <c r="L16" s="125">
        <v>3935</v>
      </c>
      <c r="M16" s="127">
        <v>10797502</v>
      </c>
      <c r="N16" s="125">
        <v>3924</v>
      </c>
      <c r="O16" s="137">
        <v>86</v>
      </c>
      <c r="P16" s="137">
        <v>5</v>
      </c>
      <c r="Q16" s="138">
        <v>4015</v>
      </c>
      <c r="R16" s="14" t="str">
        <f t="shared" si="0"/>
        <v>室蘭</v>
      </c>
    </row>
    <row r="17" spans="1:18" ht="18.75" customHeight="1">
      <c r="A17" s="11" t="s">
        <v>18</v>
      </c>
      <c r="B17" s="125">
        <f>_xlfn.COMPOUNDVALUE(281)</f>
        <v>3613</v>
      </c>
      <c r="C17" s="126">
        <v>13163894</v>
      </c>
      <c r="D17" s="125">
        <f>_xlfn.COMPOUNDVALUE(282)</f>
        <v>2328</v>
      </c>
      <c r="E17" s="126">
        <v>1156414</v>
      </c>
      <c r="F17" s="125">
        <f>_xlfn.COMPOUNDVALUE(283)</f>
        <v>5941</v>
      </c>
      <c r="G17" s="126">
        <v>14320308</v>
      </c>
      <c r="H17" s="125">
        <f>_xlfn.COMPOUNDVALUE(284)</f>
        <v>202</v>
      </c>
      <c r="I17" s="127">
        <v>1024739</v>
      </c>
      <c r="J17" s="125">
        <v>385</v>
      </c>
      <c r="K17" s="127">
        <v>99023</v>
      </c>
      <c r="L17" s="125">
        <v>6271</v>
      </c>
      <c r="M17" s="127">
        <v>13394593</v>
      </c>
      <c r="N17" s="125">
        <v>6234</v>
      </c>
      <c r="O17" s="137">
        <v>161</v>
      </c>
      <c r="P17" s="137">
        <v>15</v>
      </c>
      <c r="Q17" s="138">
        <v>6410</v>
      </c>
      <c r="R17" s="14" t="str">
        <f t="shared" si="0"/>
        <v>釧路</v>
      </c>
    </row>
    <row r="18" spans="1:18" ht="18.75" customHeight="1">
      <c r="A18" s="11" t="s">
        <v>19</v>
      </c>
      <c r="B18" s="125">
        <f>_xlfn.COMPOUNDVALUE(285)</f>
        <v>6335</v>
      </c>
      <c r="C18" s="126">
        <v>23031359</v>
      </c>
      <c r="D18" s="125">
        <f>_xlfn.COMPOUNDVALUE(286)</f>
        <v>3382</v>
      </c>
      <c r="E18" s="126">
        <v>1715634</v>
      </c>
      <c r="F18" s="125">
        <f>_xlfn.COMPOUNDVALUE(287)</f>
        <v>9717</v>
      </c>
      <c r="G18" s="126">
        <v>24746992</v>
      </c>
      <c r="H18" s="125">
        <f>_xlfn.COMPOUNDVALUE(288)</f>
        <v>779</v>
      </c>
      <c r="I18" s="127">
        <v>2772696</v>
      </c>
      <c r="J18" s="125">
        <v>512</v>
      </c>
      <c r="K18" s="127">
        <v>158043</v>
      </c>
      <c r="L18" s="125">
        <v>10597</v>
      </c>
      <c r="M18" s="127">
        <v>22132339</v>
      </c>
      <c r="N18" s="125">
        <v>10205</v>
      </c>
      <c r="O18" s="137">
        <v>375</v>
      </c>
      <c r="P18" s="137">
        <v>14</v>
      </c>
      <c r="Q18" s="138">
        <v>10594</v>
      </c>
      <c r="R18" s="14" t="str">
        <f t="shared" si="0"/>
        <v>帯広</v>
      </c>
    </row>
    <row r="19" spans="1:18" ht="18.75" customHeight="1">
      <c r="A19" s="11" t="s">
        <v>20</v>
      </c>
      <c r="B19" s="125">
        <f>_xlfn.COMPOUNDVALUE(289)</f>
        <v>2169</v>
      </c>
      <c r="C19" s="126">
        <v>7938406</v>
      </c>
      <c r="D19" s="125">
        <f>_xlfn.COMPOUNDVALUE(290)</f>
        <v>1804</v>
      </c>
      <c r="E19" s="126">
        <v>902119</v>
      </c>
      <c r="F19" s="125">
        <f>_xlfn.COMPOUNDVALUE(291)</f>
        <v>3973</v>
      </c>
      <c r="G19" s="126">
        <v>8840525</v>
      </c>
      <c r="H19" s="125">
        <f>_xlfn.COMPOUNDVALUE(292)</f>
        <v>188</v>
      </c>
      <c r="I19" s="127">
        <v>306531</v>
      </c>
      <c r="J19" s="125">
        <v>211</v>
      </c>
      <c r="K19" s="127">
        <v>57950</v>
      </c>
      <c r="L19" s="125">
        <v>4234</v>
      </c>
      <c r="M19" s="127">
        <v>8591944</v>
      </c>
      <c r="N19" s="125">
        <v>4249</v>
      </c>
      <c r="O19" s="137">
        <v>101</v>
      </c>
      <c r="P19" s="137">
        <v>3</v>
      </c>
      <c r="Q19" s="138">
        <v>4353</v>
      </c>
      <c r="R19" s="14" t="str">
        <f t="shared" si="0"/>
        <v>北見</v>
      </c>
    </row>
    <row r="20" spans="1:18" ht="18.75" customHeight="1">
      <c r="A20" s="11" t="s">
        <v>21</v>
      </c>
      <c r="B20" s="125">
        <f>_xlfn.COMPOUNDVALUE(293)</f>
        <v>1885</v>
      </c>
      <c r="C20" s="126">
        <v>6038642</v>
      </c>
      <c r="D20" s="125">
        <f>_xlfn.COMPOUNDVALUE(294)</f>
        <v>2809</v>
      </c>
      <c r="E20" s="126">
        <v>1109726</v>
      </c>
      <c r="F20" s="125">
        <f>_xlfn.COMPOUNDVALUE(295)</f>
        <v>4694</v>
      </c>
      <c r="G20" s="126">
        <v>7148368</v>
      </c>
      <c r="H20" s="125">
        <f>_xlfn.COMPOUNDVALUE(296)</f>
        <v>252</v>
      </c>
      <c r="I20" s="127">
        <v>556392</v>
      </c>
      <c r="J20" s="125">
        <v>203</v>
      </c>
      <c r="K20" s="127">
        <v>16289</v>
      </c>
      <c r="L20" s="125">
        <v>4985</v>
      </c>
      <c r="M20" s="127">
        <v>6608265</v>
      </c>
      <c r="N20" s="125">
        <v>4887</v>
      </c>
      <c r="O20" s="137">
        <v>131</v>
      </c>
      <c r="P20" s="137">
        <v>3</v>
      </c>
      <c r="Q20" s="138">
        <v>5021</v>
      </c>
      <c r="R20" s="14" t="str">
        <f t="shared" si="0"/>
        <v>岩見沢</v>
      </c>
    </row>
    <row r="21" spans="1:18" ht="18.75" customHeight="1">
      <c r="A21" s="11" t="s">
        <v>22</v>
      </c>
      <c r="B21" s="125">
        <f>_xlfn.COMPOUNDVALUE(297)</f>
        <v>1912</v>
      </c>
      <c r="C21" s="126">
        <v>6046813</v>
      </c>
      <c r="D21" s="125">
        <f>_xlfn.COMPOUNDVALUE(298)</f>
        <v>1441</v>
      </c>
      <c r="E21" s="126">
        <v>632105</v>
      </c>
      <c r="F21" s="125">
        <f>_xlfn.COMPOUNDVALUE(299)</f>
        <v>3353</v>
      </c>
      <c r="G21" s="126">
        <v>6678918</v>
      </c>
      <c r="H21" s="125">
        <f>_xlfn.COMPOUNDVALUE(300)</f>
        <v>667</v>
      </c>
      <c r="I21" s="127">
        <v>331907</v>
      </c>
      <c r="J21" s="125">
        <v>97</v>
      </c>
      <c r="K21" s="127">
        <v>9652</v>
      </c>
      <c r="L21" s="125">
        <v>4061</v>
      </c>
      <c r="M21" s="127">
        <v>6356663</v>
      </c>
      <c r="N21" s="125">
        <v>4312</v>
      </c>
      <c r="O21" s="137">
        <v>101</v>
      </c>
      <c r="P21" s="137">
        <v>8</v>
      </c>
      <c r="Q21" s="138">
        <v>4421</v>
      </c>
      <c r="R21" s="14" t="str">
        <f t="shared" si="0"/>
        <v>網走</v>
      </c>
    </row>
    <row r="22" spans="1:18" ht="18.75" customHeight="1">
      <c r="A22" s="11" t="s">
        <v>23</v>
      </c>
      <c r="B22" s="125">
        <f>_xlfn.COMPOUNDVALUE(301)</f>
        <v>610</v>
      </c>
      <c r="C22" s="126">
        <v>2011398</v>
      </c>
      <c r="D22" s="125">
        <f>_xlfn.COMPOUNDVALUE(302)</f>
        <v>689</v>
      </c>
      <c r="E22" s="126">
        <v>298662</v>
      </c>
      <c r="F22" s="125">
        <f>_xlfn.COMPOUNDVALUE(303)</f>
        <v>1299</v>
      </c>
      <c r="G22" s="126">
        <v>2310060</v>
      </c>
      <c r="H22" s="125">
        <f>_xlfn.COMPOUNDVALUE(304)</f>
        <v>56</v>
      </c>
      <c r="I22" s="127">
        <v>84798</v>
      </c>
      <c r="J22" s="125">
        <v>59</v>
      </c>
      <c r="K22" s="127">
        <v>1640</v>
      </c>
      <c r="L22" s="125">
        <v>1365</v>
      </c>
      <c r="M22" s="127">
        <v>2226902</v>
      </c>
      <c r="N22" s="125">
        <v>1336</v>
      </c>
      <c r="O22" s="137">
        <v>33</v>
      </c>
      <c r="P22" s="137" t="s">
        <v>113</v>
      </c>
      <c r="Q22" s="138">
        <v>1369</v>
      </c>
      <c r="R22" s="14" t="str">
        <f t="shared" si="0"/>
        <v>留萌</v>
      </c>
    </row>
    <row r="23" spans="1:18" ht="18.75" customHeight="1">
      <c r="A23" s="11" t="s">
        <v>24</v>
      </c>
      <c r="B23" s="125">
        <f>_xlfn.COMPOUNDVALUE(305)</f>
        <v>2904</v>
      </c>
      <c r="C23" s="126">
        <v>15835746</v>
      </c>
      <c r="D23" s="125">
        <f>_xlfn.COMPOUNDVALUE(306)</f>
        <v>2285</v>
      </c>
      <c r="E23" s="126">
        <v>1150088</v>
      </c>
      <c r="F23" s="125">
        <f>_xlfn.COMPOUNDVALUE(307)</f>
        <v>5189</v>
      </c>
      <c r="G23" s="126">
        <v>16985834</v>
      </c>
      <c r="H23" s="125">
        <f>_xlfn.COMPOUNDVALUE(308)</f>
        <v>228</v>
      </c>
      <c r="I23" s="127">
        <v>3231637</v>
      </c>
      <c r="J23" s="125">
        <v>257</v>
      </c>
      <c r="K23" s="127">
        <v>4676</v>
      </c>
      <c r="L23" s="125">
        <v>5481</v>
      </c>
      <c r="M23" s="127">
        <v>13758873</v>
      </c>
      <c r="N23" s="125">
        <v>5542</v>
      </c>
      <c r="O23" s="137">
        <v>145</v>
      </c>
      <c r="P23" s="137">
        <v>11</v>
      </c>
      <c r="Q23" s="138">
        <v>5698</v>
      </c>
      <c r="R23" s="14" t="str">
        <f t="shared" si="0"/>
        <v>苫小牧</v>
      </c>
    </row>
    <row r="24" spans="1:18" ht="18.75" customHeight="1">
      <c r="A24" s="13" t="s">
        <v>25</v>
      </c>
      <c r="B24" s="128">
        <f>_xlfn.COMPOUNDVALUE(309)</f>
        <v>1841</v>
      </c>
      <c r="C24" s="129">
        <v>5316423</v>
      </c>
      <c r="D24" s="128">
        <f>_xlfn.COMPOUNDVALUE(310)</f>
        <v>1564</v>
      </c>
      <c r="E24" s="129">
        <v>807272</v>
      </c>
      <c r="F24" s="128">
        <f>_xlfn.COMPOUNDVALUE(311)</f>
        <v>3405</v>
      </c>
      <c r="G24" s="129">
        <v>6123695</v>
      </c>
      <c r="H24" s="128">
        <f>_xlfn.COMPOUNDVALUE(312)</f>
        <v>143</v>
      </c>
      <c r="I24" s="130">
        <v>340050</v>
      </c>
      <c r="J24" s="128">
        <v>110</v>
      </c>
      <c r="K24" s="130">
        <v>-5447</v>
      </c>
      <c r="L24" s="128">
        <v>3567</v>
      </c>
      <c r="M24" s="130">
        <v>5778198</v>
      </c>
      <c r="N24" s="125">
        <v>3509</v>
      </c>
      <c r="O24" s="137">
        <v>111</v>
      </c>
      <c r="P24" s="137">
        <v>2</v>
      </c>
      <c r="Q24" s="138">
        <v>3622</v>
      </c>
      <c r="R24" s="14" t="str">
        <f t="shared" si="0"/>
        <v>稚内</v>
      </c>
    </row>
    <row r="25" spans="1:18" ht="18.75" customHeight="1">
      <c r="A25" s="13" t="s">
        <v>26</v>
      </c>
      <c r="B25" s="128">
        <f>_xlfn.COMPOUNDVALUE(313)</f>
        <v>1549</v>
      </c>
      <c r="C25" s="129">
        <v>4166592</v>
      </c>
      <c r="D25" s="128">
        <f>_xlfn.COMPOUNDVALUE(314)</f>
        <v>914</v>
      </c>
      <c r="E25" s="129">
        <v>494348</v>
      </c>
      <c r="F25" s="128">
        <f>_xlfn.COMPOUNDVALUE(315)</f>
        <v>2463</v>
      </c>
      <c r="G25" s="129">
        <v>4660940</v>
      </c>
      <c r="H25" s="128">
        <f>_xlfn.COMPOUNDVALUE(316)</f>
        <v>105</v>
      </c>
      <c r="I25" s="130">
        <v>713373</v>
      </c>
      <c r="J25" s="128">
        <v>113</v>
      </c>
      <c r="K25" s="130">
        <v>38109</v>
      </c>
      <c r="L25" s="128">
        <v>2597</v>
      </c>
      <c r="M25" s="130">
        <v>3985675</v>
      </c>
      <c r="N25" s="125">
        <v>2524</v>
      </c>
      <c r="O25" s="137">
        <v>97</v>
      </c>
      <c r="P25" s="137">
        <v>1</v>
      </c>
      <c r="Q25" s="138">
        <v>2622</v>
      </c>
      <c r="R25" s="14" t="str">
        <f t="shared" si="0"/>
        <v>紋別</v>
      </c>
    </row>
    <row r="26" spans="1:18" ht="18.75" customHeight="1">
      <c r="A26" s="13" t="s">
        <v>27</v>
      </c>
      <c r="B26" s="128">
        <f>_xlfn.COMPOUNDVALUE(317)</f>
        <v>1056</v>
      </c>
      <c r="C26" s="129">
        <v>2689795</v>
      </c>
      <c r="D26" s="128">
        <f>_xlfn.COMPOUNDVALUE(318)</f>
        <v>970</v>
      </c>
      <c r="E26" s="129">
        <v>384614</v>
      </c>
      <c r="F26" s="128">
        <f>_xlfn.COMPOUNDVALUE(319)</f>
        <v>2026</v>
      </c>
      <c r="G26" s="129">
        <v>3074410</v>
      </c>
      <c r="H26" s="128">
        <f>_xlfn.COMPOUNDVALUE(320)</f>
        <v>137</v>
      </c>
      <c r="I26" s="130">
        <v>105945</v>
      </c>
      <c r="J26" s="128">
        <v>87</v>
      </c>
      <c r="K26" s="130">
        <v>10299</v>
      </c>
      <c r="L26" s="128">
        <v>2185</v>
      </c>
      <c r="M26" s="130">
        <v>2978764</v>
      </c>
      <c r="N26" s="125">
        <v>2169</v>
      </c>
      <c r="O26" s="137">
        <v>59</v>
      </c>
      <c r="P26" s="137">
        <v>6</v>
      </c>
      <c r="Q26" s="138">
        <v>2234</v>
      </c>
      <c r="R26" s="14" t="str">
        <f t="shared" si="0"/>
        <v>名寄</v>
      </c>
    </row>
    <row r="27" spans="1:18" ht="18.75" customHeight="1">
      <c r="A27" s="13" t="s">
        <v>28</v>
      </c>
      <c r="B27" s="128">
        <f>_xlfn.COMPOUNDVALUE(321)</f>
        <v>2216</v>
      </c>
      <c r="C27" s="129">
        <v>6072005</v>
      </c>
      <c r="D27" s="128">
        <f>_xlfn.COMPOUNDVALUE(322)</f>
        <v>1954</v>
      </c>
      <c r="E27" s="129">
        <v>988238</v>
      </c>
      <c r="F27" s="128">
        <f>_xlfn.COMPOUNDVALUE(323)</f>
        <v>4170</v>
      </c>
      <c r="G27" s="129">
        <v>7060243</v>
      </c>
      <c r="H27" s="128">
        <f>_xlfn.COMPOUNDVALUE(324)</f>
        <v>176</v>
      </c>
      <c r="I27" s="130">
        <v>381893</v>
      </c>
      <c r="J27" s="128">
        <v>160</v>
      </c>
      <c r="K27" s="130">
        <v>21341</v>
      </c>
      <c r="L27" s="128">
        <v>4371</v>
      </c>
      <c r="M27" s="130">
        <v>6699691</v>
      </c>
      <c r="N27" s="125">
        <v>4259</v>
      </c>
      <c r="O27" s="137">
        <v>137</v>
      </c>
      <c r="P27" s="137">
        <v>4</v>
      </c>
      <c r="Q27" s="138">
        <v>4400</v>
      </c>
      <c r="R27" s="14" t="str">
        <f t="shared" si="0"/>
        <v>根室</v>
      </c>
    </row>
    <row r="28" spans="1:18" ht="18.75" customHeight="1">
      <c r="A28" s="13" t="s">
        <v>29</v>
      </c>
      <c r="B28" s="128">
        <f>_xlfn.COMPOUNDVALUE(325)</f>
        <v>1085</v>
      </c>
      <c r="C28" s="129">
        <v>5912228</v>
      </c>
      <c r="D28" s="128">
        <f>_xlfn.COMPOUNDVALUE(326)</f>
        <v>1284</v>
      </c>
      <c r="E28" s="129">
        <v>535193</v>
      </c>
      <c r="F28" s="128">
        <f>_xlfn.COMPOUNDVALUE(327)</f>
        <v>2369</v>
      </c>
      <c r="G28" s="129">
        <v>6447421</v>
      </c>
      <c r="H28" s="128">
        <f>_xlfn.COMPOUNDVALUE(328)</f>
        <v>44</v>
      </c>
      <c r="I28" s="130">
        <v>103926</v>
      </c>
      <c r="J28" s="128">
        <v>173</v>
      </c>
      <c r="K28" s="130">
        <v>16896</v>
      </c>
      <c r="L28" s="128">
        <v>2433</v>
      </c>
      <c r="M28" s="130">
        <v>6360391</v>
      </c>
      <c r="N28" s="125">
        <v>2424</v>
      </c>
      <c r="O28" s="137">
        <v>51</v>
      </c>
      <c r="P28" s="137">
        <v>6</v>
      </c>
      <c r="Q28" s="138">
        <v>2481</v>
      </c>
      <c r="R28" s="14" t="str">
        <f t="shared" si="0"/>
        <v>滝川</v>
      </c>
    </row>
    <row r="29" spans="1:18" ht="18.75" customHeight="1">
      <c r="A29" s="13" t="s">
        <v>30</v>
      </c>
      <c r="B29" s="128">
        <f>_xlfn.COMPOUNDVALUE(329)</f>
        <v>497</v>
      </c>
      <c r="C29" s="129">
        <v>1537649</v>
      </c>
      <c r="D29" s="128">
        <f>_xlfn.COMPOUNDVALUE(330)</f>
        <v>1261</v>
      </c>
      <c r="E29" s="129">
        <v>471764</v>
      </c>
      <c r="F29" s="128">
        <f>_xlfn.COMPOUNDVALUE(331)</f>
        <v>1758</v>
      </c>
      <c r="G29" s="129">
        <v>2009413</v>
      </c>
      <c r="H29" s="128">
        <f>_xlfn.COMPOUNDVALUE(332)</f>
        <v>47</v>
      </c>
      <c r="I29" s="130">
        <v>23862</v>
      </c>
      <c r="J29" s="128">
        <v>223</v>
      </c>
      <c r="K29" s="130">
        <v>12469</v>
      </c>
      <c r="L29" s="128">
        <v>1827</v>
      </c>
      <c r="M29" s="130">
        <v>1998020</v>
      </c>
      <c r="N29" s="125">
        <v>1725</v>
      </c>
      <c r="O29" s="137">
        <v>24</v>
      </c>
      <c r="P29" s="137">
        <v>1</v>
      </c>
      <c r="Q29" s="138">
        <v>1750</v>
      </c>
      <c r="R29" s="14" t="str">
        <f t="shared" si="0"/>
        <v>深川</v>
      </c>
    </row>
    <row r="30" spans="1:18" ht="18.75" customHeight="1">
      <c r="A30" s="13" t="s">
        <v>31</v>
      </c>
      <c r="B30" s="128">
        <f>_xlfn.COMPOUNDVALUE(333)</f>
        <v>557</v>
      </c>
      <c r="C30" s="129">
        <v>2052835</v>
      </c>
      <c r="D30" s="128">
        <f>_xlfn.COMPOUNDVALUE(334)</f>
        <v>879</v>
      </c>
      <c r="E30" s="129">
        <v>377992</v>
      </c>
      <c r="F30" s="128">
        <f>_xlfn.COMPOUNDVALUE(335)</f>
        <v>1436</v>
      </c>
      <c r="G30" s="129">
        <v>2430827</v>
      </c>
      <c r="H30" s="128">
        <f>_xlfn.COMPOUNDVALUE(336)</f>
        <v>63</v>
      </c>
      <c r="I30" s="130">
        <v>123308</v>
      </c>
      <c r="J30" s="128">
        <v>53</v>
      </c>
      <c r="K30" s="130">
        <v>18916</v>
      </c>
      <c r="L30" s="128">
        <v>1513</v>
      </c>
      <c r="M30" s="130">
        <v>2326435</v>
      </c>
      <c r="N30" s="125">
        <v>1533</v>
      </c>
      <c r="O30" s="137">
        <v>42</v>
      </c>
      <c r="P30" s="137">
        <v>1</v>
      </c>
      <c r="Q30" s="138">
        <v>1576</v>
      </c>
      <c r="R30" s="14" t="str">
        <f t="shared" si="0"/>
        <v>富良野</v>
      </c>
    </row>
    <row r="31" spans="1:18" ht="18.75" customHeight="1">
      <c r="A31" s="13" t="s">
        <v>32</v>
      </c>
      <c r="B31" s="128">
        <f>_xlfn.COMPOUNDVALUE(337)</f>
        <v>859</v>
      </c>
      <c r="C31" s="129">
        <v>2167881</v>
      </c>
      <c r="D31" s="128">
        <f>_xlfn.COMPOUNDVALUE(338)</f>
        <v>1365</v>
      </c>
      <c r="E31" s="129">
        <v>737435</v>
      </c>
      <c r="F31" s="128">
        <f>_xlfn.COMPOUNDVALUE(339)</f>
        <v>2224</v>
      </c>
      <c r="G31" s="129">
        <v>2905316</v>
      </c>
      <c r="H31" s="128">
        <f>_xlfn.COMPOUNDVALUE(340)</f>
        <v>55</v>
      </c>
      <c r="I31" s="130">
        <v>188918</v>
      </c>
      <c r="J31" s="128">
        <v>90</v>
      </c>
      <c r="K31" s="130">
        <v>9006</v>
      </c>
      <c r="L31" s="128">
        <v>2295</v>
      </c>
      <c r="M31" s="130">
        <v>2725404</v>
      </c>
      <c r="N31" s="125">
        <v>2297</v>
      </c>
      <c r="O31" s="137">
        <v>41</v>
      </c>
      <c r="P31" s="137">
        <v>5</v>
      </c>
      <c r="Q31" s="138">
        <v>2343</v>
      </c>
      <c r="R31" s="14" t="str">
        <f t="shared" si="0"/>
        <v>八雲</v>
      </c>
    </row>
    <row r="32" spans="1:18" ht="18.75" customHeight="1">
      <c r="A32" s="13" t="s">
        <v>33</v>
      </c>
      <c r="B32" s="128">
        <f>_xlfn.COMPOUNDVALUE(341)</f>
        <v>329</v>
      </c>
      <c r="C32" s="129">
        <v>843434</v>
      </c>
      <c r="D32" s="128">
        <f>_xlfn.COMPOUNDVALUE(342)</f>
        <v>364</v>
      </c>
      <c r="E32" s="129">
        <v>140701</v>
      </c>
      <c r="F32" s="128">
        <f>_xlfn.COMPOUNDVALUE(343)</f>
        <v>693</v>
      </c>
      <c r="G32" s="129">
        <v>984135</v>
      </c>
      <c r="H32" s="128">
        <f>_xlfn.COMPOUNDVALUE(344)</f>
        <v>22</v>
      </c>
      <c r="I32" s="130">
        <v>51482</v>
      </c>
      <c r="J32" s="128">
        <v>68</v>
      </c>
      <c r="K32" s="130">
        <v>4806</v>
      </c>
      <c r="L32" s="128">
        <v>727</v>
      </c>
      <c r="M32" s="130">
        <v>937459</v>
      </c>
      <c r="N32" s="125">
        <v>782</v>
      </c>
      <c r="O32" s="137">
        <v>26</v>
      </c>
      <c r="P32" s="137">
        <v>2</v>
      </c>
      <c r="Q32" s="138">
        <v>810</v>
      </c>
      <c r="R32" s="14" t="str">
        <f t="shared" si="0"/>
        <v>江差</v>
      </c>
    </row>
    <row r="33" spans="1:18" ht="18.75" customHeight="1">
      <c r="A33" s="13" t="s">
        <v>34</v>
      </c>
      <c r="B33" s="128">
        <f>_xlfn.COMPOUNDVALUE(345)</f>
        <v>1152</v>
      </c>
      <c r="C33" s="129">
        <v>3230141</v>
      </c>
      <c r="D33" s="128">
        <f>_xlfn.COMPOUNDVALUE(346)</f>
        <v>1279</v>
      </c>
      <c r="E33" s="129">
        <v>563723</v>
      </c>
      <c r="F33" s="128">
        <f>_xlfn.COMPOUNDVALUE(347)</f>
        <v>2431</v>
      </c>
      <c r="G33" s="129">
        <v>3793864</v>
      </c>
      <c r="H33" s="128">
        <f>_xlfn.COMPOUNDVALUE(348)</f>
        <v>145</v>
      </c>
      <c r="I33" s="130">
        <v>702862</v>
      </c>
      <c r="J33" s="128">
        <v>158</v>
      </c>
      <c r="K33" s="130">
        <v>43788</v>
      </c>
      <c r="L33" s="128">
        <v>2611</v>
      </c>
      <c r="M33" s="130">
        <v>3134791</v>
      </c>
      <c r="N33" s="125">
        <v>2432</v>
      </c>
      <c r="O33" s="137">
        <v>207</v>
      </c>
      <c r="P33" s="137">
        <v>4</v>
      </c>
      <c r="Q33" s="138">
        <v>2643</v>
      </c>
      <c r="R33" s="14" t="str">
        <f t="shared" si="0"/>
        <v>倶知安</v>
      </c>
    </row>
    <row r="34" spans="1:18" ht="18.75" customHeight="1">
      <c r="A34" s="13" t="s">
        <v>35</v>
      </c>
      <c r="B34" s="128">
        <f>_xlfn.COMPOUNDVALUE(349)</f>
        <v>373</v>
      </c>
      <c r="C34" s="129">
        <v>3298012</v>
      </c>
      <c r="D34" s="128">
        <f>_xlfn.COMPOUNDVALUE(350)</f>
        <v>513</v>
      </c>
      <c r="E34" s="129">
        <v>208571</v>
      </c>
      <c r="F34" s="128">
        <f>_xlfn.COMPOUNDVALUE(351)</f>
        <v>886</v>
      </c>
      <c r="G34" s="129">
        <v>3506583</v>
      </c>
      <c r="H34" s="128">
        <f>_xlfn.COMPOUNDVALUE(352)</f>
        <v>48</v>
      </c>
      <c r="I34" s="130">
        <v>53506</v>
      </c>
      <c r="J34" s="128">
        <v>47</v>
      </c>
      <c r="K34" s="130">
        <v>10853</v>
      </c>
      <c r="L34" s="128">
        <v>945</v>
      </c>
      <c r="M34" s="130">
        <v>3463929</v>
      </c>
      <c r="N34" s="125">
        <v>936</v>
      </c>
      <c r="O34" s="137">
        <v>24</v>
      </c>
      <c r="P34" s="137">
        <v>5</v>
      </c>
      <c r="Q34" s="138">
        <v>965</v>
      </c>
      <c r="R34" s="14" t="str">
        <f t="shared" si="0"/>
        <v>余市</v>
      </c>
    </row>
    <row r="35" spans="1:18" ht="18.75" customHeight="1">
      <c r="A35" s="13" t="s">
        <v>36</v>
      </c>
      <c r="B35" s="128">
        <f>_xlfn.COMPOUNDVALUE(353)</f>
        <v>1019</v>
      </c>
      <c r="C35" s="129">
        <v>3052086</v>
      </c>
      <c r="D35" s="128">
        <f>_xlfn.COMPOUNDVALUE(354)</f>
        <v>864</v>
      </c>
      <c r="E35" s="129">
        <v>400983</v>
      </c>
      <c r="F35" s="128">
        <f>_xlfn.COMPOUNDVALUE(355)</f>
        <v>1883</v>
      </c>
      <c r="G35" s="129">
        <v>3453069</v>
      </c>
      <c r="H35" s="128">
        <f>_xlfn.COMPOUNDVALUE(356)</f>
        <v>89</v>
      </c>
      <c r="I35" s="130">
        <v>281743</v>
      </c>
      <c r="J35" s="128">
        <v>109</v>
      </c>
      <c r="K35" s="130">
        <v>6151</v>
      </c>
      <c r="L35" s="128">
        <v>1988</v>
      </c>
      <c r="M35" s="130">
        <v>3177477</v>
      </c>
      <c r="N35" s="125">
        <v>1997</v>
      </c>
      <c r="O35" s="137">
        <v>62</v>
      </c>
      <c r="P35" s="137">
        <v>1</v>
      </c>
      <c r="Q35" s="138">
        <v>2060</v>
      </c>
      <c r="R35" s="14" t="str">
        <f t="shared" si="0"/>
        <v>浦河</v>
      </c>
    </row>
    <row r="36" spans="1:18" ht="18.75" customHeight="1" thickBot="1">
      <c r="A36" s="87" t="s">
        <v>37</v>
      </c>
      <c r="B36" s="131">
        <f>_xlfn.COMPOUNDVALUE(357)</f>
        <v>1122</v>
      </c>
      <c r="C36" s="132">
        <v>2113520</v>
      </c>
      <c r="D36" s="131">
        <f>_xlfn.COMPOUNDVALUE(358)</f>
        <v>428</v>
      </c>
      <c r="E36" s="132">
        <v>191855</v>
      </c>
      <c r="F36" s="131">
        <f>_xlfn.COMPOUNDVALUE(359)</f>
        <v>1550</v>
      </c>
      <c r="G36" s="132">
        <v>2305375</v>
      </c>
      <c r="H36" s="131">
        <f>_xlfn.COMPOUNDVALUE(360)</f>
        <v>204</v>
      </c>
      <c r="I36" s="133">
        <v>124363</v>
      </c>
      <c r="J36" s="131">
        <v>58</v>
      </c>
      <c r="K36" s="133">
        <v>8616</v>
      </c>
      <c r="L36" s="131">
        <v>1771</v>
      </c>
      <c r="M36" s="133">
        <v>2189628</v>
      </c>
      <c r="N36" s="131">
        <v>1693</v>
      </c>
      <c r="O36" s="139">
        <v>78</v>
      </c>
      <c r="P36" s="139" t="s">
        <v>113</v>
      </c>
      <c r="Q36" s="140">
        <v>1771</v>
      </c>
      <c r="R36" s="85" t="str">
        <f t="shared" si="0"/>
        <v>十勝池田</v>
      </c>
    </row>
    <row r="37" spans="1:18" s="15" customFormat="1" ht="18.75" customHeight="1" thickBot="1" thickTop="1">
      <c r="A37" s="16" t="s">
        <v>44</v>
      </c>
      <c r="B37" s="134">
        <v>74822</v>
      </c>
      <c r="C37" s="135">
        <v>381033290</v>
      </c>
      <c r="D37" s="134">
        <v>54380</v>
      </c>
      <c r="E37" s="135">
        <v>26556525</v>
      </c>
      <c r="F37" s="134">
        <v>129202</v>
      </c>
      <c r="G37" s="135">
        <v>407589815</v>
      </c>
      <c r="H37" s="134">
        <v>6279</v>
      </c>
      <c r="I37" s="136">
        <v>22772658</v>
      </c>
      <c r="J37" s="134">
        <v>7919</v>
      </c>
      <c r="K37" s="136">
        <v>1833266</v>
      </c>
      <c r="L37" s="134">
        <v>137508</v>
      </c>
      <c r="M37" s="136">
        <v>386650423</v>
      </c>
      <c r="N37" s="134">
        <v>137138</v>
      </c>
      <c r="O37" s="141">
        <v>3842</v>
      </c>
      <c r="P37" s="141">
        <v>329</v>
      </c>
      <c r="Q37" s="142">
        <v>141309</v>
      </c>
      <c r="R37" s="17" t="str">
        <f t="shared" si="0"/>
        <v>合　　計</v>
      </c>
    </row>
    <row r="38" spans="1:18" s="33" customFormat="1" ht="3" customHeight="1">
      <c r="A38" s="29"/>
      <c r="B38" s="30"/>
      <c r="C38" s="30"/>
      <c r="D38" s="30"/>
      <c r="E38" s="30"/>
      <c r="F38" s="30"/>
      <c r="G38" s="30"/>
      <c r="H38" s="30"/>
      <c r="I38" s="30"/>
      <c r="J38" s="30"/>
      <c r="K38" s="30"/>
      <c r="L38" s="30"/>
      <c r="M38" s="30"/>
      <c r="N38" s="30"/>
      <c r="O38" s="30"/>
      <c r="P38" s="30"/>
      <c r="Q38" s="30"/>
      <c r="R38" s="29"/>
    </row>
    <row r="39" spans="1:17" ht="14.25" thickBot="1">
      <c r="A39" s="175" t="s">
        <v>112</v>
      </c>
      <c r="B39" s="175"/>
      <c r="C39" s="175"/>
      <c r="D39" s="175"/>
      <c r="E39" s="175"/>
      <c r="F39" s="175"/>
      <c r="G39" s="175"/>
      <c r="H39" s="175"/>
      <c r="I39" s="175"/>
      <c r="J39" s="175"/>
      <c r="K39" s="175"/>
      <c r="L39" s="175"/>
      <c r="M39" s="175"/>
      <c r="N39" s="175"/>
      <c r="O39" s="175"/>
      <c r="P39" s="175"/>
      <c r="Q39" s="175"/>
    </row>
    <row r="40" spans="1:9" ht="13.5">
      <c r="A40" s="194"/>
      <c r="B40" s="194"/>
      <c r="C40" s="194"/>
      <c r="D40" s="194"/>
      <c r="E40" s="194"/>
      <c r="F40" s="194"/>
      <c r="G40" s="194"/>
      <c r="H40" s="194"/>
      <c r="I40" s="194"/>
    </row>
  </sheetData>
  <sheetProtection/>
  <mergeCells count="17">
    <mergeCell ref="R3:R5"/>
    <mergeCell ref="B4:C4"/>
    <mergeCell ref="D4:E4"/>
    <mergeCell ref="F4:G4"/>
    <mergeCell ref="N4:N5"/>
    <mergeCell ref="O4:O5"/>
    <mergeCell ref="P4:P5"/>
    <mergeCell ref="Q4:Q5"/>
    <mergeCell ref="J3:K4"/>
    <mergeCell ref="L3:M4"/>
    <mergeCell ref="A40:I40"/>
    <mergeCell ref="N3:Q3"/>
    <mergeCell ref="A2:I2"/>
    <mergeCell ref="A3:A5"/>
    <mergeCell ref="B3:G3"/>
    <mergeCell ref="H3:I4"/>
    <mergeCell ref="A39:Q39"/>
  </mergeCells>
  <printOptions horizontalCentered="1"/>
  <pageMargins left="0.7874015748031497" right="0.5511811023622047" top="0.9055118110236221" bottom="0.5905511811023623" header="0.5118110236220472" footer="0.31496062992125984"/>
  <pageSetup fitToHeight="0" horizontalDpi="600" verticalDpi="600" orientation="landscape" paperSize="9" scale="72" r:id="rId1"/>
  <headerFooter alignWithMargins="0">
    <oddFooter>&amp;R札幌国税局　
消費税
（H27）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国税庁</cp:lastModifiedBy>
  <cp:lastPrinted>2017-05-11T04:37:23Z</cp:lastPrinted>
  <dcterms:created xsi:type="dcterms:W3CDTF">2011-12-09T10:59:54Z</dcterms:created>
  <dcterms:modified xsi:type="dcterms:W3CDTF">2017-05-29T01:59:08Z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