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340" activeTab="0"/>
  </bookViews>
  <sheets>
    <sheet name="7 (1)課税状況" sheetId="1" r:id="rId1"/>
    <sheet name="7 (2)課税状況の累年比較" sheetId="2" r:id="rId2"/>
    <sheet name="7 (3)課税事業者等届出件数" sheetId="3" r:id="rId3"/>
    <sheet name="7 (4)-1税務署別(個人事業者）" sheetId="4" r:id="rId4"/>
    <sheet name="7 (4)-2税務署別（法人）" sheetId="5" r:id="rId5"/>
    <sheet name="7 (4)-3税務署別（合計）" sheetId="6" r:id="rId6"/>
  </sheets>
  <definedNames>
    <definedName name="_xlfn.COMPOUNDVALUE" hidden="1">#NAME?</definedName>
    <definedName name="_xlnm.Print_Area" localSheetId="1">'7 (2)課税状況の累年比較'!$A$1:$H$14</definedName>
    <definedName name="_xlnm.Print_Area" localSheetId="2">'7 (3)課税事業者等届出件数'!$A$1:$E$7</definedName>
    <definedName name="_xlnm.Print_Area" localSheetId="3">'7 (4)-1税務署別(個人事業者）'!$A$1:$N$39</definedName>
    <definedName name="_xlnm.Print_Area" localSheetId="4">'7 (4)-2税務署別（法人）'!$A$1:$N$39</definedName>
    <definedName name="_xlnm.Print_Area" localSheetId="5">'7 (4)-3税務署別（合計）'!$A$1:$R$39</definedName>
    <definedName name="_xlnm.Print_Titles" localSheetId="3">'7 (4)-1税務署別(個人事業者）'!$3:$6</definedName>
    <definedName name="_xlnm.Print_Titles" localSheetId="4">'7 (4)-2税務署別（法人）'!$3:$6</definedName>
    <definedName name="_xlnm.Print_Titles" localSheetId="5">'7 (4)-3税務署別（合計）'!$3:$6</definedName>
  </definedNames>
  <calcPr fullCalcOnLoad="1" iterate="1" iterateCount="1" iterateDelta="0"/>
</workbook>
</file>

<file path=xl/sharedStrings.xml><?xml version="1.0" encoding="utf-8"?>
<sst xmlns="http://schemas.openxmlformats.org/spreadsheetml/2006/main" count="351" uniqueCount="113">
  <si>
    <t>　イ　個人事業者</t>
  </si>
  <si>
    <t>還付申告及び処理</t>
  </si>
  <si>
    <t>既往年分の
申告及び処理</t>
  </si>
  <si>
    <t>合　　　　　　計</t>
  </si>
  <si>
    <t>税務署名</t>
  </si>
  <si>
    <t>簡易申告及び処理</t>
  </si>
  <si>
    <t>小　　　　　　計</t>
  </si>
  <si>
    <t>件</t>
  </si>
  <si>
    <t>千円</t>
  </si>
  <si>
    <t>札幌中</t>
  </si>
  <si>
    <t>札幌北</t>
  </si>
  <si>
    <t>札幌南</t>
  </si>
  <si>
    <t>札幌西</t>
  </si>
  <si>
    <t>札幌東</t>
  </si>
  <si>
    <t>小樽</t>
  </si>
  <si>
    <t>旭川中</t>
  </si>
  <si>
    <t>旭川東</t>
  </si>
  <si>
    <t>室蘭</t>
  </si>
  <si>
    <t>釧路</t>
  </si>
  <si>
    <t>帯広</t>
  </si>
  <si>
    <t>北見</t>
  </si>
  <si>
    <t>岩見沢</t>
  </si>
  <si>
    <t>網走</t>
  </si>
  <si>
    <t>留萌</t>
  </si>
  <si>
    <t>苫小牧</t>
  </si>
  <si>
    <t>稚内</t>
  </si>
  <si>
    <t>紋別</t>
  </si>
  <si>
    <t>名寄</t>
  </si>
  <si>
    <t>根室</t>
  </si>
  <si>
    <t>滝川</t>
  </si>
  <si>
    <t>深川</t>
  </si>
  <si>
    <t>富良野</t>
  </si>
  <si>
    <t>八雲</t>
  </si>
  <si>
    <t>江差</t>
  </si>
  <si>
    <t>倶知安</t>
  </si>
  <si>
    <t>余市</t>
  </si>
  <si>
    <t>浦河</t>
  </si>
  <si>
    <t>十勝池田</t>
  </si>
  <si>
    <t>(4)　税務署別課税状況（続）</t>
  </si>
  <si>
    <t>　ロ　法　　　人</t>
  </si>
  <si>
    <t>税務署名</t>
  </si>
  <si>
    <t>　ハ　個人事業者と法人の合計</t>
  </si>
  <si>
    <t>課税事業者
届出</t>
  </si>
  <si>
    <t>合　　　計</t>
  </si>
  <si>
    <t>合　　計</t>
  </si>
  <si>
    <t>加算税</t>
  </si>
  <si>
    <t>実</t>
  </si>
  <si>
    <t>差引計</t>
  </si>
  <si>
    <t>申告及び処理による
減差税額のあるもの</t>
  </si>
  <si>
    <t>申告及び処理による
増差税額のあるもの</t>
  </si>
  <si>
    <t>既往年分</t>
  </si>
  <si>
    <t>還付申告及び処理</t>
  </si>
  <si>
    <t>納税申告計</t>
  </si>
  <si>
    <t>簡易申告及び処理</t>
  </si>
  <si>
    <t>一般申告及び処理</t>
  </si>
  <si>
    <t>現年分</t>
  </si>
  <si>
    <t>千円</t>
  </si>
  <si>
    <t>件</t>
  </si>
  <si>
    <t>税　　　額</t>
  </si>
  <si>
    <t>件　　　数</t>
  </si>
  <si>
    <t>合　　　　　計</t>
  </si>
  <si>
    <t>法　　　　　人</t>
  </si>
  <si>
    <t>個　人　事　業　者</t>
  </si>
  <si>
    <t>区　　　分</t>
  </si>
  <si>
    <t>(1)　課税状況</t>
  </si>
  <si>
    <t>７　消　費　税</t>
  </si>
  <si>
    <t>納税申告計</t>
  </si>
  <si>
    <t>税　　額</t>
  </si>
  <si>
    <t>件　　数</t>
  </si>
  <si>
    <t>合　　　　　　　計</t>
  </si>
  <si>
    <t>法　　　　　　　人</t>
  </si>
  <si>
    <t>(2)　課税状況の累年比較</t>
  </si>
  <si>
    <t>(3)　課税事業者等届出件数</t>
  </si>
  <si>
    <t>課税事業者届出書</t>
  </si>
  <si>
    <t>課税事業者選択届出書</t>
  </si>
  <si>
    <t>新設法人に該当する旨の届出書</t>
  </si>
  <si>
    <t>平成23年度</t>
  </si>
  <si>
    <t>税務署名</t>
  </si>
  <si>
    <t>一般申告及び処理</t>
  </si>
  <si>
    <t>件数</t>
  </si>
  <si>
    <t>税額</t>
  </si>
  <si>
    <t>税　額　①</t>
  </si>
  <si>
    <t>納　　　税　　　申　　　告　　　及　　　び　　　処　　　理</t>
  </si>
  <si>
    <t>税　額　②</t>
  </si>
  <si>
    <t>税　額　③</t>
  </si>
  <si>
    <t>税　　　額
(①－②＋③)</t>
  </si>
  <si>
    <t>函館</t>
  </si>
  <si>
    <t>（注）この表は「(1)　課税状況」の現年分を税務署別に示したものである（加算税を除く。）。</t>
  </si>
  <si>
    <t>札幌中</t>
  </si>
  <si>
    <t>税　　額
(①－②＋③)</t>
  </si>
  <si>
    <t>課　税　事　業　者　等　届　出　件　数</t>
  </si>
  <si>
    <t>課税事業者
選択届出</t>
  </si>
  <si>
    <t>新設法人に
該当する旨
の届出</t>
  </si>
  <si>
    <t>（注）この表は「(1)　課税状況」の現年分及び「(3)　課税事業者等届出件数」を税務署別に示したものである（加算税を除く。）。</t>
  </si>
  <si>
    <t xml:space="preserve">     （注） 納税義務者でなくなった旨の届出書又は課税事業者選択不適用届出書を提出した者は含まない。</t>
  </si>
  <si>
    <t>合               計</t>
  </si>
  <si>
    <t>平成24年度</t>
  </si>
  <si>
    <t xml:space="preserve">  「現年分」は、平成25年４月１日から平成26年３月31日までに終了した課税期間について、平成26
年６月30日現在の申告（国・地方公共団体等については平成26年９月30日までの申告を含む。）及び
処理（更正、決定等）による課税事績を「申告書及び決議書」に基づいて作成した。</t>
  </si>
  <si>
    <t>平成21年度</t>
  </si>
  <si>
    <t>平成22年度</t>
  </si>
  <si>
    <t>平成25年度</t>
  </si>
  <si>
    <t>調査対象等：平成25年度末（平成26年３月31日現在）の届出件数を示している。</t>
  </si>
  <si>
    <t>調査対象等：</t>
  </si>
  <si>
    <t xml:space="preserve">  「既往年分」は、平成25年３月31日以前に終了した課税期間について、平成25年７月１日から平成
26年６月30日までの間の申告（平成25年７月１日から同年９月30日までの間の国・地方公共団体等に
係る申告を除く。）及び処理（更正、決定等）による課税事績を「申告書及び決議書」に基づいて作
成した。</t>
  </si>
  <si>
    <t>　　（注）　</t>
  </si>
  <si>
    <t>　１　税関分は含まない。</t>
  </si>
  <si>
    <t>　　　　　　</t>
  </si>
  <si>
    <t>　２　「件数欄」の「実」は、実件数を示す。</t>
  </si>
  <si>
    <t>(4)　税務署別課税状況</t>
  </si>
  <si>
    <t>件数</t>
  </si>
  <si>
    <t>税額</t>
  </si>
  <si>
    <t>(4)　税務署別課税状況（続）</t>
  </si>
  <si>
    <t>函館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</si>
</sst>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3">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bottom style="medium"/>
    </border>
    <border>
      <left style="thin"/>
      <right style="medium"/>
      <top/>
      <bottom style="medium"/>
    </border>
    <border>
      <left style="hair"/>
      <right style="thin"/>
      <top style="hair"/>
      <bottom style="thin"/>
    </border>
    <border>
      <left style="hair"/>
      <right style="hair"/>
      <top style="thin"/>
      <bottom/>
    </border>
    <border>
      <left style="thin"/>
      <right style="hair"/>
      <top style="hair"/>
      <bottom style="thin"/>
    </border>
    <border>
      <left style="hair"/>
      <right/>
      <top style="hair"/>
      <bottom style="thin"/>
    </border>
    <border>
      <left/>
      <right/>
      <top style="medium"/>
      <bottom/>
    </border>
    <border>
      <left style="thin"/>
      <right style="hair"/>
      <top/>
      <bottom style="medium"/>
    </border>
    <border>
      <left style="thin"/>
      <right style="hair"/>
      <top style="thin"/>
      <bottom style="thin"/>
    </border>
    <border>
      <left style="thin"/>
      <right style="hair"/>
      <top/>
      <bottom/>
    </border>
    <border>
      <left style="hair"/>
      <right style="thin"/>
      <top style="hair">
        <color indexed="55"/>
      </top>
      <bottom style="hair">
        <color indexed="55"/>
      </bottom>
    </border>
    <border>
      <left style="hair"/>
      <right style="medium"/>
      <top style="thin"/>
      <bottom style="hair">
        <color indexed="55"/>
      </bottom>
    </border>
    <border>
      <left style="hair"/>
      <right style="thin"/>
      <top style="thin"/>
      <bottom style="hair">
        <color indexed="55"/>
      </bottom>
    </border>
    <border>
      <left style="hair"/>
      <right style="thin"/>
      <top style="hair">
        <color indexed="55"/>
      </top>
      <bottom style="thin"/>
    </border>
    <border>
      <left style="hair"/>
      <right style="medium"/>
      <top/>
      <bottom style="hair">
        <color indexed="55"/>
      </bottom>
    </border>
    <border>
      <left style="hair"/>
      <right style="thin"/>
      <top/>
      <bottom style="hair">
        <color indexed="55"/>
      </bottom>
    </border>
    <border>
      <left style="hair"/>
      <right style="medium"/>
      <top style="thin"/>
      <bottom/>
    </border>
    <border>
      <left style="hair"/>
      <right style="thin"/>
      <top style="hair">
        <color indexed="55"/>
      </top>
      <bottom style="medium"/>
    </border>
    <border>
      <left style="thin"/>
      <right style="hair"/>
      <top style="thin"/>
      <bottom style="hair">
        <color indexed="55"/>
      </bottom>
    </border>
    <border>
      <left style="hair"/>
      <right style="medium"/>
      <top style="hair">
        <color indexed="55"/>
      </top>
      <bottom style="thin"/>
    </border>
    <border>
      <left style="thin"/>
      <right style="hair"/>
      <top style="hair">
        <color indexed="55"/>
      </top>
      <bottom style="thin"/>
    </border>
    <border>
      <left style="thin"/>
      <right style="hair"/>
      <top/>
      <bottom style="hair">
        <color indexed="55"/>
      </bottom>
    </border>
    <border>
      <left/>
      <right style="medium"/>
      <top style="thin"/>
      <bottom/>
    </border>
    <border>
      <left/>
      <right style="thin"/>
      <top style="thin"/>
      <botto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border>
    <border>
      <left style="thin"/>
      <right style="thin"/>
      <top style="thin"/>
      <bottom/>
    </border>
    <border>
      <left style="thin"/>
      <right/>
      <top style="thin"/>
      <bottom/>
    </border>
    <border>
      <left style="thin"/>
      <right style="medium"/>
      <top style="hair">
        <color indexed="55"/>
      </top>
      <bottom style="double"/>
    </border>
    <border>
      <left style="medium"/>
      <right/>
      <top style="hair">
        <color indexed="55"/>
      </top>
      <bottom style="double"/>
    </border>
    <border>
      <left style="hair"/>
      <right style="hair"/>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medium"/>
      <top style="hair">
        <color indexed="55"/>
      </top>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bottom style="medium"/>
    </border>
    <border>
      <left style="hair"/>
      <right style="thin"/>
      <top/>
      <bottom style="medium"/>
    </border>
    <border>
      <left style="hair"/>
      <right style="medium"/>
      <top/>
      <bottom style="medium"/>
    </border>
    <border>
      <left style="thin"/>
      <right style="hair"/>
      <top style="hair">
        <color indexed="55"/>
      </top>
      <bottom style="medium"/>
    </border>
    <border>
      <left style="hair"/>
      <right style="medium"/>
      <top style="hair">
        <color indexed="55"/>
      </top>
      <bottom style="medium"/>
    </border>
    <border>
      <left style="medium"/>
      <right style="thin"/>
      <top/>
      <bottom style="medium"/>
    </border>
    <border>
      <left style="thin"/>
      <right style="thin"/>
      <top/>
      <bottom style="medium"/>
    </border>
    <border>
      <left style="thin"/>
      <right/>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double"/>
    </border>
    <border>
      <left style="hair"/>
      <right style="thin"/>
      <top style="hair">
        <color indexed="55"/>
      </top>
      <bottom style="double"/>
    </border>
    <border>
      <left style="hair"/>
      <right/>
      <top style="hair">
        <color indexed="55"/>
      </top>
      <bottom style="double"/>
    </border>
    <border>
      <left style="hair"/>
      <right/>
      <top/>
      <bottom style="medium"/>
    </border>
    <border>
      <left style="hair"/>
      <right style="hair"/>
      <top style="hair">
        <color indexed="55"/>
      </top>
      <bottom style="double"/>
    </border>
    <border>
      <left style="medium"/>
      <right/>
      <top style="medium"/>
      <bottom/>
    </border>
    <border>
      <left/>
      <right style="thin"/>
      <top style="medium"/>
      <bottom/>
    </border>
    <border>
      <left style="medium"/>
      <right/>
      <top/>
      <bottom/>
    </border>
    <border>
      <left/>
      <right style="thin"/>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hair"/>
      <top/>
      <bottom/>
    </border>
    <border>
      <left style="medium"/>
      <right style="hair"/>
      <top/>
      <bottom style="thin"/>
    </border>
    <border>
      <left style="medium"/>
      <right style="hair"/>
      <top style="thin"/>
      <bottom style="hair"/>
    </border>
    <border>
      <left style="medium"/>
      <right style="hair"/>
      <top style="hair"/>
      <bottom style="hair"/>
    </border>
    <border>
      <left style="medium"/>
      <right/>
      <top style="thin"/>
      <bottom style="thin"/>
    </border>
    <border>
      <left/>
      <right style="thin"/>
      <top style="thin"/>
      <bottom style="thin"/>
    </border>
    <border>
      <left/>
      <right style="thin"/>
      <top/>
      <bottom style="medium"/>
    </border>
    <border>
      <left style="medium"/>
      <right style="hair"/>
      <top style="hair"/>
      <bottom style="medium"/>
    </border>
    <border>
      <left style="thin"/>
      <right style="thin"/>
      <top style="medium"/>
      <bottom style="thin"/>
    </border>
    <border>
      <left/>
      <right style="medium"/>
      <top style="medium"/>
      <bottom/>
    </border>
    <border>
      <left style="medium"/>
      <right style="hair"/>
      <top/>
      <bottom style="hair"/>
    </border>
    <border>
      <left style="medium"/>
      <right style="hair"/>
      <top style="hair"/>
      <bottom style="thin"/>
    </border>
    <border>
      <left style="medium"/>
      <right style="hair"/>
      <top style="thin"/>
      <bottom/>
    </border>
    <border>
      <left style="thin"/>
      <right style="medium"/>
      <top/>
      <bottom/>
    </border>
    <border>
      <left style="thin"/>
      <right style="medium"/>
      <top/>
      <bottom style="thin"/>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top style="medium"/>
      <bottom style="hair"/>
    </border>
    <border>
      <left style="hair"/>
      <right/>
      <top style="hair"/>
      <bottom style="hair"/>
    </border>
    <border>
      <left style="medium"/>
      <right/>
      <top/>
      <bottom style="thin"/>
    </border>
    <border>
      <left style="thin"/>
      <right style="thin"/>
      <top style="medium"/>
      <bottom style="hair"/>
    </border>
    <border>
      <left/>
      <right/>
      <top/>
      <bottom style="medium"/>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
      <left style="thin"/>
      <right/>
      <top style="medium"/>
      <bottom style="hair"/>
    </border>
    <border>
      <left/>
      <right/>
      <top style="medium"/>
      <bottom style="hair"/>
    </border>
    <border>
      <left>
        <color indexed="63"/>
      </left>
      <right style="thin"/>
      <top style="medium"/>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42" fillId="32" borderId="0" applyNumberFormat="0" applyBorder="0" applyAlignment="0" applyProtection="0"/>
  </cellStyleXfs>
  <cellXfs count="206">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0" fontId="3" fillId="36" borderId="16" xfId="60" applyFont="1" applyFill="1" applyBorder="1" applyAlignment="1">
      <alignment horizontal="distributed" vertical="center"/>
      <protection/>
    </xf>
    <xf numFmtId="0" fontId="3" fillId="36" borderId="17" xfId="60" applyFont="1" applyFill="1" applyBorder="1" applyAlignment="1">
      <alignment horizontal="distributed" vertical="center"/>
      <protection/>
    </xf>
    <xf numFmtId="0" fontId="3" fillId="36" borderId="18" xfId="60" applyFont="1" applyFill="1" applyBorder="1" applyAlignment="1">
      <alignment horizontal="distributed" vertical="center"/>
      <protection/>
    </xf>
    <xf numFmtId="0" fontId="9" fillId="0" borderId="0" xfId="60" applyFont="1">
      <alignment/>
      <protection/>
    </xf>
    <xf numFmtId="0" fontId="8" fillId="0" borderId="19" xfId="60" applyFont="1" applyBorder="1" applyAlignment="1">
      <alignment horizontal="center" vertical="center"/>
      <protection/>
    </xf>
    <xf numFmtId="0" fontId="8" fillId="0" borderId="20" xfId="60" applyFont="1" applyBorder="1" applyAlignment="1">
      <alignment horizontal="center"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2" fillId="0" borderId="0" xfId="60" applyFont="1" applyFill="1">
      <alignment/>
      <protection/>
    </xf>
    <xf numFmtId="0" fontId="3" fillId="0" borderId="21" xfId="60" applyFont="1" applyBorder="1" applyAlignment="1">
      <alignment horizontal="center" vertical="center" wrapText="1"/>
      <protection/>
    </xf>
    <xf numFmtId="0" fontId="5" fillId="34" borderId="22" xfId="60" applyFont="1" applyFill="1" applyBorder="1" applyAlignment="1">
      <alignment horizontal="right" vertical="top"/>
      <protection/>
    </xf>
    <xf numFmtId="0" fontId="5" fillId="34" borderId="13" xfId="60" applyFont="1" applyFill="1" applyBorder="1" applyAlignment="1">
      <alignment horizontal="right" vertical="top"/>
      <protection/>
    </xf>
    <xf numFmtId="0" fontId="3" fillId="0" borderId="23" xfId="60" applyFont="1" applyBorder="1" applyAlignment="1">
      <alignment horizontal="distributed" vertical="center" indent="1"/>
      <protection/>
    </xf>
    <xf numFmtId="0" fontId="3" fillId="0" borderId="21" xfId="60" applyFont="1" applyBorder="1" applyAlignment="1">
      <alignment horizontal="distributed" vertical="center" indent="1"/>
      <protection/>
    </xf>
    <xf numFmtId="0" fontId="3" fillId="0" borderId="24" xfId="60" applyFont="1" applyBorder="1" applyAlignment="1">
      <alignment horizontal="distributed" vertical="center" indent="1"/>
      <protection/>
    </xf>
    <xf numFmtId="0" fontId="3" fillId="0" borderId="24" xfId="60" applyFont="1" applyBorder="1" applyAlignment="1">
      <alignment horizontal="centerContinuous" vertical="center" wrapText="1"/>
      <protection/>
    </xf>
    <xf numFmtId="0" fontId="8" fillId="0" borderId="0" xfId="60" applyFont="1" applyFill="1" applyBorder="1" applyAlignment="1">
      <alignment horizontal="center" vertical="center"/>
      <protection/>
    </xf>
    <xf numFmtId="176" fontId="8" fillId="0" borderId="0" xfId="60" applyNumberFormat="1" applyFont="1" applyFill="1" applyBorder="1" applyAlignment="1">
      <alignment horizontal="right" vertical="center"/>
      <protection/>
    </xf>
    <xf numFmtId="0" fontId="8" fillId="0" borderId="25" xfId="60" applyFont="1" applyFill="1" applyBorder="1" applyAlignment="1">
      <alignment horizontal="center" vertical="center"/>
      <protection/>
    </xf>
    <xf numFmtId="176" fontId="8" fillId="0" borderId="25" xfId="60" applyNumberFormat="1" applyFont="1" applyFill="1" applyBorder="1" applyAlignment="1">
      <alignment horizontal="right" vertical="center"/>
      <protection/>
    </xf>
    <xf numFmtId="0" fontId="9" fillId="0" borderId="0" xfId="60" applyFont="1" applyFill="1" applyBorder="1">
      <alignment/>
      <protection/>
    </xf>
    <xf numFmtId="3" fontId="3" fillId="0" borderId="26" xfId="60" applyNumberFormat="1" applyFont="1" applyBorder="1" applyAlignment="1">
      <alignment horizontal="right" vertical="center"/>
      <protection/>
    </xf>
    <xf numFmtId="0" fontId="3" fillId="0" borderId="26" xfId="60" applyFont="1" applyBorder="1" applyAlignment="1">
      <alignment horizontal="right" vertical="center"/>
      <protection/>
    </xf>
    <xf numFmtId="0" fontId="8" fillId="0" borderId="0" xfId="60" applyFont="1" applyAlignment="1">
      <alignment horizontal="left" vertical="top"/>
      <protection/>
    </xf>
    <xf numFmtId="0" fontId="8" fillId="0" borderId="27" xfId="60" applyFont="1" applyBorder="1" applyAlignment="1">
      <alignment horizontal="right" vertical="center"/>
      <protection/>
    </xf>
    <xf numFmtId="3" fontId="3" fillId="0" borderId="28" xfId="60" applyNumberFormat="1" applyFont="1" applyBorder="1" applyAlignment="1">
      <alignment horizontal="center" vertical="center"/>
      <protection/>
    </xf>
    <xf numFmtId="0" fontId="3" fillId="0" borderId="28" xfId="60" applyFont="1" applyBorder="1" applyAlignment="1">
      <alignment horizontal="center" vertical="center"/>
      <protection/>
    </xf>
    <xf numFmtId="0" fontId="3" fillId="0" borderId="29" xfId="60" applyFont="1" applyBorder="1" applyAlignment="1">
      <alignment horizontal="distributed" vertical="center" wrapText="1"/>
      <protection/>
    </xf>
    <xf numFmtId="3" fontId="3" fillId="35" borderId="30" xfId="60" applyNumberFormat="1" applyFont="1" applyFill="1" applyBorder="1" applyAlignment="1">
      <alignment horizontal="right" vertical="center"/>
      <protection/>
    </xf>
    <xf numFmtId="3" fontId="3" fillId="0" borderId="11" xfId="60" applyNumberFormat="1" applyFont="1" applyBorder="1" applyAlignment="1">
      <alignment horizontal="center" vertical="center"/>
      <protection/>
    </xf>
    <xf numFmtId="3" fontId="3" fillId="35" borderId="31" xfId="60" applyNumberFormat="1" applyFont="1" applyFill="1" applyBorder="1" applyAlignment="1">
      <alignment horizontal="right" vertical="center"/>
      <protection/>
    </xf>
    <xf numFmtId="0" fontId="3" fillId="0" borderId="31" xfId="60" applyFont="1" applyBorder="1" applyAlignment="1">
      <alignment horizontal="distributed" vertical="center" wrapText="1"/>
      <protection/>
    </xf>
    <xf numFmtId="0" fontId="3" fillId="0" borderId="28" xfId="60" applyFont="1" applyBorder="1" applyAlignment="1">
      <alignment horizontal="right" vertical="center"/>
      <protection/>
    </xf>
    <xf numFmtId="0" fontId="3" fillId="0" borderId="32" xfId="60" applyFont="1" applyBorder="1" applyAlignment="1">
      <alignment horizontal="distributed" vertical="center"/>
      <protection/>
    </xf>
    <xf numFmtId="0" fontId="8" fillId="0" borderId="28" xfId="60" applyFont="1" applyBorder="1" applyAlignment="1">
      <alignment horizontal="right" vertical="center"/>
      <protection/>
    </xf>
    <xf numFmtId="0" fontId="8" fillId="0" borderId="29" xfId="60" applyFont="1" applyBorder="1" applyAlignment="1">
      <alignment horizontal="distributed" vertical="center"/>
      <protection/>
    </xf>
    <xf numFmtId="3" fontId="3" fillId="0" borderId="28" xfId="60" applyNumberFormat="1" applyFont="1" applyBorder="1" applyAlignment="1">
      <alignment horizontal="right" vertical="center"/>
      <protection/>
    </xf>
    <xf numFmtId="0" fontId="3" fillId="0" borderId="29" xfId="60" applyFont="1" applyBorder="1" applyAlignment="1">
      <alignment horizontal="distributed" vertical="center"/>
      <protection/>
    </xf>
    <xf numFmtId="3" fontId="3" fillId="35" borderId="33" xfId="60" applyNumberFormat="1" applyFont="1" applyFill="1" applyBorder="1" applyAlignment="1">
      <alignment horizontal="right" vertical="center"/>
      <protection/>
    </xf>
    <xf numFmtId="3" fontId="3" fillId="35" borderId="34" xfId="60" applyNumberFormat="1" applyFont="1" applyFill="1" applyBorder="1" applyAlignment="1">
      <alignment horizontal="right" vertical="center"/>
      <protection/>
    </xf>
    <xf numFmtId="0" fontId="3" fillId="0" borderId="34" xfId="60" applyFont="1" applyBorder="1" applyAlignment="1">
      <alignment horizontal="distributed" vertical="center"/>
      <protection/>
    </xf>
    <xf numFmtId="0" fontId="5" fillId="35" borderId="35" xfId="60" applyFont="1" applyFill="1" applyBorder="1" applyAlignment="1">
      <alignment horizontal="right" vertical="top"/>
      <protection/>
    </xf>
    <xf numFmtId="0" fontId="5" fillId="0" borderId="11" xfId="60" applyFont="1" applyFill="1" applyBorder="1" applyAlignment="1">
      <alignment horizontal="right" vertical="top"/>
      <protection/>
    </xf>
    <xf numFmtId="0" fontId="5" fillId="0" borderId="12"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3" fillId="0" borderId="35" xfId="60" applyFont="1" applyBorder="1" applyAlignment="1">
      <alignment horizontal="center" vertical="center"/>
      <protection/>
    </xf>
    <xf numFmtId="0" fontId="3" fillId="0" borderId="12" xfId="60" applyFont="1" applyBorder="1" applyAlignment="1">
      <alignment horizontal="center" vertical="center"/>
      <protection/>
    </xf>
    <xf numFmtId="3" fontId="3" fillId="0" borderId="0" xfId="60" applyNumberFormat="1" applyFont="1" applyAlignment="1">
      <alignment horizontal="left" vertical="top"/>
      <protection/>
    </xf>
    <xf numFmtId="0" fontId="3" fillId="0" borderId="36" xfId="60" applyFont="1" applyBorder="1" applyAlignment="1">
      <alignment horizontal="distributed" vertical="center"/>
      <protection/>
    </xf>
    <xf numFmtId="3" fontId="3" fillId="34" borderId="37" xfId="60" applyNumberFormat="1" applyFont="1" applyFill="1" applyBorder="1" applyAlignment="1">
      <alignment horizontal="right" vertical="center"/>
      <protection/>
    </xf>
    <xf numFmtId="0" fontId="3" fillId="0" borderId="31" xfId="60" applyFont="1" applyBorder="1" applyAlignment="1">
      <alignment horizontal="distributed" vertical="center"/>
      <protection/>
    </xf>
    <xf numFmtId="0" fontId="3" fillId="0" borderId="0" xfId="60" applyFont="1" applyBorder="1" applyAlignment="1">
      <alignment horizontal="left" vertical="top"/>
      <protection/>
    </xf>
    <xf numFmtId="3" fontId="3" fillId="35" borderId="38" xfId="60" applyNumberFormat="1" applyFont="1" applyFill="1" applyBorder="1" applyAlignment="1">
      <alignment horizontal="right" vertical="center"/>
      <protection/>
    </xf>
    <xf numFmtId="3" fontId="3" fillId="34" borderId="39" xfId="60" applyNumberFormat="1" applyFont="1" applyFill="1" applyBorder="1" applyAlignment="1">
      <alignment horizontal="right" vertical="center"/>
      <protection/>
    </xf>
    <xf numFmtId="3" fontId="3" fillId="35" borderId="32" xfId="60" applyNumberFormat="1" applyFont="1" applyFill="1" applyBorder="1" applyAlignment="1">
      <alignment horizontal="right" vertical="center"/>
      <protection/>
    </xf>
    <xf numFmtId="3" fontId="3" fillId="34" borderId="40" xfId="60" applyNumberFormat="1" applyFont="1" applyFill="1" applyBorder="1" applyAlignment="1">
      <alignment horizontal="right" vertical="center"/>
      <protection/>
    </xf>
    <xf numFmtId="0" fontId="3" fillId="0" borderId="0" xfId="60" applyFont="1" applyAlignment="1">
      <alignment horizontal="left"/>
      <protection/>
    </xf>
    <xf numFmtId="0" fontId="5" fillId="35" borderId="35" xfId="60" applyFont="1" applyFill="1" applyBorder="1" applyAlignment="1">
      <alignment horizontal="right"/>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3" fillId="0" borderId="10" xfId="60" applyFont="1" applyBorder="1" applyAlignment="1">
      <alignment horizontal="center" vertical="center"/>
      <protection/>
    </xf>
    <xf numFmtId="0" fontId="3" fillId="0" borderId="41" xfId="60" applyFont="1" applyBorder="1" applyAlignment="1">
      <alignment horizontal="center" vertical="center"/>
      <protection/>
    </xf>
    <xf numFmtId="0" fontId="3" fillId="0" borderId="42" xfId="60" applyFont="1" applyBorder="1" applyAlignment="1">
      <alignment horizontal="center" vertical="center"/>
      <protection/>
    </xf>
    <xf numFmtId="0" fontId="3" fillId="0" borderId="43" xfId="60" applyFont="1" applyBorder="1" applyAlignment="1">
      <alignment horizontal="distributed" vertical="center"/>
      <protection/>
    </xf>
    <xf numFmtId="0" fontId="3" fillId="0" borderId="44" xfId="60" applyFont="1" applyBorder="1" applyAlignment="1">
      <alignment horizontal="distributed" vertical="center"/>
      <protection/>
    </xf>
    <xf numFmtId="0" fontId="3" fillId="0" borderId="45" xfId="60" applyFont="1" applyBorder="1" applyAlignment="1">
      <alignment horizontal="center" vertical="center"/>
      <protection/>
    </xf>
    <xf numFmtId="0" fontId="3" fillId="0" borderId="46" xfId="60" applyFont="1" applyBorder="1" applyAlignment="1">
      <alignment horizontal="center" vertical="center"/>
      <protection/>
    </xf>
    <xf numFmtId="0" fontId="5" fillId="34" borderId="47" xfId="60" applyFont="1" applyFill="1" applyBorder="1" applyAlignment="1">
      <alignment horizontal="right"/>
      <protection/>
    </xf>
    <xf numFmtId="0" fontId="5" fillId="34" borderId="48" xfId="60" applyFont="1" applyFill="1" applyBorder="1" applyAlignment="1">
      <alignment horizontal="right"/>
      <protection/>
    </xf>
    <xf numFmtId="0" fontId="5" fillId="34" borderId="49" xfId="60" applyFont="1" applyFill="1" applyBorder="1" applyAlignment="1">
      <alignment horizontal="right"/>
      <protection/>
    </xf>
    <xf numFmtId="0" fontId="5" fillId="34" borderId="14" xfId="60" applyFont="1" applyFill="1" applyBorder="1" applyAlignment="1">
      <alignment horizontal="right"/>
      <protection/>
    </xf>
    <xf numFmtId="3" fontId="3" fillId="0" borderId="0" xfId="60" applyNumberFormat="1" applyFont="1" applyAlignment="1">
      <alignment horizontal="left" vertical="center"/>
      <protection/>
    </xf>
    <xf numFmtId="0" fontId="3" fillId="36" borderId="50" xfId="60" applyFont="1" applyFill="1" applyBorder="1" applyAlignment="1">
      <alignment horizontal="distributed" vertical="center"/>
      <protection/>
    </xf>
    <xf numFmtId="0" fontId="3" fillId="0" borderId="23" xfId="60" applyFont="1" applyBorder="1" applyAlignment="1">
      <alignment horizontal="distributed" vertical="center"/>
      <protection/>
    </xf>
    <xf numFmtId="0" fontId="3" fillId="36" borderId="51" xfId="60" applyFont="1" applyFill="1" applyBorder="1" applyAlignment="1">
      <alignment horizontal="distributed" vertical="center"/>
      <protection/>
    </xf>
    <xf numFmtId="0" fontId="10" fillId="0" borderId="0" xfId="60" applyFont="1" applyAlignment="1">
      <alignment horizontal="center" vertical="top"/>
      <protection/>
    </xf>
    <xf numFmtId="0" fontId="3" fillId="0" borderId="11" xfId="60" applyFont="1" applyBorder="1" applyAlignment="1">
      <alignment horizontal="center" vertical="center"/>
      <protection/>
    </xf>
    <xf numFmtId="0" fontId="3" fillId="0" borderId="0" xfId="60" applyFont="1" applyAlignment="1" quotePrefix="1">
      <alignment horizontal="left" vertical="top"/>
      <protection/>
    </xf>
    <xf numFmtId="0" fontId="3" fillId="0" borderId="0" xfId="60" applyFont="1" applyFill="1" applyBorder="1" applyAlignment="1">
      <alignment horizontal="distributed" vertical="center"/>
      <protection/>
    </xf>
    <xf numFmtId="0" fontId="3" fillId="0" borderId="0" xfId="60" applyFont="1" applyFill="1" applyBorder="1" applyAlignment="1">
      <alignment horizontal="right" vertical="center"/>
      <protection/>
    </xf>
    <xf numFmtId="3" fontId="3" fillId="0" borderId="0" xfId="60" applyNumberFormat="1" applyFont="1" applyFill="1" applyBorder="1" applyAlignment="1">
      <alignment horizontal="right" vertical="center"/>
      <protection/>
    </xf>
    <xf numFmtId="0" fontId="3" fillId="0" borderId="0" xfId="60" applyFont="1" applyBorder="1" applyAlignment="1">
      <alignment horizontal="left" vertical="top" wrapText="1"/>
      <protection/>
    </xf>
    <xf numFmtId="0" fontId="3" fillId="0" borderId="0" xfId="60" applyFont="1" applyFill="1" applyBorder="1" applyAlignment="1">
      <alignment horizontal="left" vertical="top"/>
      <protection/>
    </xf>
    <xf numFmtId="3" fontId="3" fillId="0" borderId="0" xfId="60" applyNumberFormat="1" applyFont="1" applyFill="1" applyBorder="1" applyAlignment="1">
      <alignment horizontal="right" vertical="center" indent="1"/>
      <protection/>
    </xf>
    <xf numFmtId="3" fontId="3" fillId="0" borderId="0" xfId="60" applyNumberFormat="1" applyFont="1" applyFill="1" applyBorder="1" applyAlignment="1">
      <alignment horizontal="left" vertical="center"/>
      <protection/>
    </xf>
    <xf numFmtId="0" fontId="3" fillId="0" borderId="0" xfId="60" applyFont="1" applyFill="1" applyBorder="1" applyAlignment="1">
      <alignment horizontal="left" vertical="center"/>
      <protection/>
    </xf>
    <xf numFmtId="3" fontId="3" fillId="34" borderId="52" xfId="60" applyNumberFormat="1" applyFont="1" applyFill="1" applyBorder="1" applyAlignment="1">
      <alignment horizontal="right" vertical="center"/>
      <protection/>
    </xf>
    <xf numFmtId="3" fontId="3" fillId="34" borderId="53" xfId="60" applyNumberFormat="1" applyFont="1" applyFill="1" applyBorder="1" applyAlignment="1">
      <alignment horizontal="right" vertical="center"/>
      <protection/>
    </xf>
    <xf numFmtId="3" fontId="3" fillId="35" borderId="29" xfId="60" applyNumberFormat="1" applyFont="1" applyFill="1" applyBorder="1" applyAlignment="1">
      <alignment horizontal="right" vertical="center"/>
      <protection/>
    </xf>
    <xf numFmtId="3" fontId="3" fillId="35" borderId="54" xfId="60" applyNumberFormat="1" applyFont="1" applyFill="1" applyBorder="1" applyAlignment="1">
      <alignment horizontal="right" vertical="center"/>
      <protection/>
    </xf>
    <xf numFmtId="3" fontId="8" fillId="34" borderId="53" xfId="60" applyNumberFormat="1" applyFont="1" applyFill="1" applyBorder="1" applyAlignment="1">
      <alignment horizontal="right" vertical="center"/>
      <protection/>
    </xf>
    <xf numFmtId="3" fontId="8" fillId="35" borderId="29" xfId="60" applyNumberFormat="1" applyFont="1" applyFill="1" applyBorder="1" applyAlignment="1">
      <alignment horizontal="right" vertical="center"/>
      <protection/>
    </xf>
    <xf numFmtId="3" fontId="8" fillId="35" borderId="54" xfId="60" applyNumberFormat="1" applyFont="1" applyFill="1" applyBorder="1" applyAlignment="1">
      <alignment horizontal="right" vertical="center"/>
      <protection/>
    </xf>
    <xf numFmtId="3" fontId="3" fillId="34" borderId="55" xfId="60" applyNumberFormat="1" applyFont="1" applyFill="1" applyBorder="1" applyAlignment="1">
      <alignment horizontal="right" vertical="center"/>
      <protection/>
    </xf>
    <xf numFmtId="3" fontId="3" fillId="35" borderId="56" xfId="60" applyNumberFormat="1" applyFont="1" applyFill="1" applyBorder="1" applyAlignment="1">
      <alignment horizontal="right" vertical="center"/>
      <protection/>
    </xf>
    <xf numFmtId="3" fontId="3" fillId="35" borderId="57" xfId="60" applyNumberFormat="1" applyFont="1" applyFill="1" applyBorder="1" applyAlignment="1">
      <alignment horizontal="right" vertical="center"/>
      <protection/>
    </xf>
    <xf numFmtId="3" fontId="3" fillId="34" borderId="58" xfId="60" applyNumberFormat="1" applyFont="1" applyFill="1" applyBorder="1" applyAlignment="1">
      <alignment horizontal="right" vertical="center"/>
      <protection/>
    </xf>
    <xf numFmtId="3" fontId="3" fillId="34" borderId="58" xfId="60" applyNumberFormat="1" applyFont="1" applyFill="1" applyBorder="1" applyAlignment="1">
      <alignment vertical="center"/>
      <protection/>
    </xf>
    <xf numFmtId="3" fontId="3" fillId="34" borderId="53" xfId="60" applyNumberFormat="1" applyFont="1" applyFill="1" applyBorder="1" applyAlignment="1">
      <alignment vertical="center"/>
      <protection/>
    </xf>
    <xf numFmtId="3" fontId="8" fillId="34" borderId="59" xfId="60" applyNumberFormat="1" applyFont="1" applyFill="1" applyBorder="1" applyAlignment="1">
      <alignment horizontal="right" vertical="center"/>
      <protection/>
    </xf>
    <xf numFmtId="3" fontId="8" fillId="35" borderId="60" xfId="60" applyNumberFormat="1" applyFont="1" applyFill="1" applyBorder="1" applyAlignment="1">
      <alignment horizontal="right" vertical="center"/>
      <protection/>
    </xf>
    <xf numFmtId="3" fontId="8" fillId="35" borderId="61" xfId="60" applyNumberFormat="1" applyFont="1" applyFill="1" applyBorder="1" applyAlignment="1">
      <alignment horizontal="right" vertical="center"/>
      <protection/>
    </xf>
    <xf numFmtId="3" fontId="3" fillId="34" borderId="62" xfId="60" applyNumberFormat="1" applyFont="1" applyFill="1" applyBorder="1" applyAlignment="1">
      <alignment horizontal="right" vertical="center"/>
      <protection/>
    </xf>
    <xf numFmtId="3" fontId="3" fillId="35" borderId="63" xfId="60" applyNumberFormat="1" applyFont="1" applyFill="1" applyBorder="1" applyAlignment="1">
      <alignment horizontal="right" vertical="center"/>
      <protection/>
    </xf>
    <xf numFmtId="3" fontId="3" fillId="35" borderId="64" xfId="60" applyNumberFormat="1" applyFont="1" applyFill="1" applyBorder="1" applyAlignment="1">
      <alignment horizontal="right" vertical="center"/>
      <protection/>
    </xf>
    <xf numFmtId="3" fontId="3" fillId="34" borderId="65" xfId="60" applyNumberFormat="1" applyFont="1" applyFill="1" applyBorder="1" applyAlignment="1">
      <alignment horizontal="right" vertical="center"/>
      <protection/>
    </xf>
    <xf numFmtId="3" fontId="3" fillId="35" borderId="36" xfId="60" applyNumberFormat="1" applyFont="1" applyFill="1" applyBorder="1" applyAlignment="1">
      <alignment horizontal="right" vertical="center"/>
      <protection/>
    </xf>
    <xf numFmtId="3" fontId="3" fillId="35" borderId="66" xfId="60" applyNumberFormat="1" applyFont="1" applyFill="1" applyBorder="1" applyAlignment="1">
      <alignment horizontal="right" vertical="center"/>
      <protection/>
    </xf>
    <xf numFmtId="3" fontId="3" fillId="34" borderId="67" xfId="60" applyNumberFormat="1" applyFont="1" applyFill="1" applyBorder="1" applyAlignment="1">
      <alignment horizontal="right" vertical="center" indent="1"/>
      <protection/>
    </xf>
    <xf numFmtId="3" fontId="3" fillId="34" borderId="68" xfId="60" applyNumberFormat="1" applyFont="1" applyFill="1" applyBorder="1" applyAlignment="1">
      <alignment horizontal="right" vertical="center" indent="1"/>
      <protection/>
    </xf>
    <xf numFmtId="3" fontId="3" fillId="34" borderId="69" xfId="60" applyNumberFormat="1" applyFont="1" applyFill="1" applyBorder="1" applyAlignment="1">
      <alignment horizontal="right" vertical="center" indent="1"/>
      <protection/>
    </xf>
    <xf numFmtId="3" fontId="3" fillId="34" borderId="20" xfId="60" applyNumberFormat="1" applyFont="1" applyFill="1" applyBorder="1" applyAlignment="1">
      <alignment horizontal="right" vertical="center" indent="1"/>
      <protection/>
    </xf>
    <xf numFmtId="176" fontId="3" fillId="34" borderId="40" xfId="60" applyNumberFormat="1" applyFont="1" applyFill="1" applyBorder="1" applyAlignment="1">
      <alignment horizontal="right" vertical="center"/>
      <protection/>
    </xf>
    <xf numFmtId="176" fontId="3" fillId="35" borderId="34" xfId="60" applyNumberFormat="1" applyFont="1" applyFill="1" applyBorder="1" applyAlignment="1">
      <alignment horizontal="right" vertical="center"/>
      <protection/>
    </xf>
    <xf numFmtId="176" fontId="3" fillId="35" borderId="70" xfId="60" applyNumberFormat="1" applyFont="1" applyFill="1" applyBorder="1" applyAlignment="1">
      <alignment horizontal="right" vertical="center"/>
      <protection/>
    </xf>
    <xf numFmtId="176" fontId="3" fillId="34" borderId="71" xfId="60" applyNumberFormat="1" applyFont="1" applyFill="1" applyBorder="1" applyAlignment="1">
      <alignment horizontal="right" vertical="center"/>
      <protection/>
    </xf>
    <xf numFmtId="176" fontId="3" fillId="35" borderId="29" xfId="60" applyNumberFormat="1" applyFont="1" applyFill="1" applyBorder="1" applyAlignment="1">
      <alignment horizontal="right" vertical="center"/>
      <protection/>
    </xf>
    <xf numFmtId="176" fontId="3" fillId="35" borderId="72" xfId="60" applyNumberFormat="1" applyFont="1" applyFill="1" applyBorder="1" applyAlignment="1">
      <alignment horizontal="right" vertical="center"/>
      <protection/>
    </xf>
    <xf numFmtId="176" fontId="3" fillId="34" borderId="73" xfId="60" applyNumberFormat="1" applyFont="1" applyFill="1" applyBorder="1" applyAlignment="1">
      <alignment horizontal="right" vertical="center"/>
      <protection/>
    </xf>
    <xf numFmtId="176" fontId="3" fillId="35" borderId="74" xfId="60" applyNumberFormat="1" applyFont="1" applyFill="1" applyBorder="1" applyAlignment="1">
      <alignment horizontal="right" vertical="center"/>
      <protection/>
    </xf>
    <xf numFmtId="176" fontId="3" fillId="35" borderId="75" xfId="60" applyNumberFormat="1" applyFont="1" applyFill="1" applyBorder="1" applyAlignment="1">
      <alignment horizontal="right" vertical="center"/>
      <protection/>
    </xf>
    <xf numFmtId="176" fontId="8" fillId="34" borderId="26" xfId="60" applyNumberFormat="1" applyFont="1" applyFill="1" applyBorder="1" applyAlignment="1">
      <alignment horizontal="right" vertical="center"/>
      <protection/>
    </xf>
    <xf numFmtId="176" fontId="8" fillId="35" borderId="63" xfId="60" applyNumberFormat="1" applyFont="1" applyFill="1" applyBorder="1" applyAlignment="1">
      <alignment horizontal="right" vertical="center"/>
      <protection/>
    </xf>
    <xf numFmtId="176" fontId="8" fillId="35" borderId="76" xfId="60" applyNumberFormat="1" applyFont="1" applyFill="1" applyBorder="1" applyAlignment="1">
      <alignment horizontal="right" vertical="center"/>
      <protection/>
    </xf>
    <xf numFmtId="176" fontId="3" fillId="34" borderId="52" xfId="60" applyNumberFormat="1" applyFont="1" applyFill="1" applyBorder="1" applyAlignment="1">
      <alignment horizontal="right" vertical="center"/>
      <protection/>
    </xf>
    <xf numFmtId="176" fontId="3" fillId="34" borderId="70" xfId="60" applyNumberFormat="1" applyFont="1" applyFill="1" applyBorder="1" applyAlignment="1">
      <alignment horizontal="right" vertical="center"/>
      <protection/>
    </xf>
    <xf numFmtId="176" fontId="3" fillId="34" borderId="77" xfId="60" applyNumberFormat="1" applyFont="1" applyFill="1" applyBorder="1" applyAlignment="1">
      <alignment horizontal="right" vertical="center"/>
      <protection/>
    </xf>
    <xf numFmtId="176" fontId="3" fillId="34" borderId="75" xfId="60" applyNumberFormat="1" applyFont="1" applyFill="1" applyBorder="1" applyAlignment="1">
      <alignment horizontal="right" vertical="center"/>
      <protection/>
    </xf>
    <xf numFmtId="176" fontId="8" fillId="34" borderId="62" xfId="60" applyNumberFormat="1" applyFont="1" applyFill="1" applyBorder="1" applyAlignment="1">
      <alignment horizontal="right" vertical="center"/>
      <protection/>
    </xf>
    <xf numFmtId="176" fontId="8" fillId="34" borderId="76" xfId="60" applyNumberFormat="1" applyFont="1" applyFill="1" applyBorder="1" applyAlignment="1">
      <alignment horizontal="right" vertical="center"/>
      <protection/>
    </xf>
    <xf numFmtId="0" fontId="10" fillId="0" borderId="0" xfId="60" applyFont="1" applyAlignment="1">
      <alignment horizontal="center" vertical="top"/>
      <protection/>
    </xf>
    <xf numFmtId="0" fontId="3" fillId="0" borderId="0" xfId="60" applyFont="1" applyAlignment="1">
      <alignment horizontal="left" vertical="top"/>
      <protection/>
    </xf>
    <xf numFmtId="0" fontId="3" fillId="0" borderId="78" xfId="60" applyFont="1" applyBorder="1" applyAlignment="1">
      <alignment horizontal="center" vertical="center"/>
      <protection/>
    </xf>
    <xf numFmtId="0" fontId="3" fillId="0" borderId="79" xfId="60" applyFont="1" applyBorder="1" applyAlignment="1">
      <alignment horizontal="center" vertical="center"/>
      <protection/>
    </xf>
    <xf numFmtId="0" fontId="3" fillId="0" borderId="80" xfId="60" applyFont="1" applyBorder="1" applyAlignment="1">
      <alignment horizontal="center" vertical="center"/>
      <protection/>
    </xf>
    <xf numFmtId="0" fontId="3" fillId="0" borderId="81" xfId="60" applyFont="1" applyBorder="1" applyAlignment="1">
      <alignment horizontal="center" vertical="center"/>
      <protection/>
    </xf>
    <xf numFmtId="0" fontId="3" fillId="0" borderId="82" xfId="60" applyFont="1" applyBorder="1" applyAlignment="1">
      <alignment horizontal="center" vertical="center"/>
      <protection/>
    </xf>
    <xf numFmtId="0" fontId="3" fillId="0" borderId="83" xfId="60" applyFont="1" applyBorder="1" applyAlignment="1">
      <alignment horizontal="center" vertical="center"/>
      <protection/>
    </xf>
    <xf numFmtId="0" fontId="3" fillId="0" borderId="84" xfId="60" applyFont="1" applyBorder="1" applyAlignment="1">
      <alignment horizontal="center" vertical="center"/>
      <protection/>
    </xf>
    <xf numFmtId="0" fontId="3" fillId="0" borderId="85"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22" xfId="60" applyFont="1" applyBorder="1" applyAlignment="1">
      <alignment horizontal="center" vertical="center"/>
      <protection/>
    </xf>
    <xf numFmtId="0" fontId="3" fillId="0" borderId="86" xfId="60" applyFont="1" applyBorder="1" applyAlignment="1">
      <alignment horizontal="distributed" vertical="center" wrapText="1"/>
      <protection/>
    </xf>
    <xf numFmtId="0" fontId="3" fillId="0" borderId="86" xfId="60" applyFont="1" applyBorder="1" applyAlignment="1">
      <alignment horizontal="distributed" vertical="center"/>
      <protection/>
    </xf>
    <xf numFmtId="0" fontId="3" fillId="0" borderId="87" xfId="60" applyFont="1" applyBorder="1" applyAlignment="1">
      <alignment horizontal="distributed" vertical="center"/>
      <protection/>
    </xf>
    <xf numFmtId="0" fontId="3" fillId="0" borderId="88" xfId="60" applyFont="1" applyBorder="1" applyAlignment="1">
      <alignment horizontal="distributed" vertical="center" wrapText="1"/>
      <protection/>
    </xf>
    <xf numFmtId="0" fontId="3" fillId="0" borderId="89" xfId="60" applyFont="1" applyBorder="1" applyAlignment="1">
      <alignment horizontal="distributed" vertical="center"/>
      <protection/>
    </xf>
    <xf numFmtId="0" fontId="8" fillId="0" borderId="90" xfId="60" applyFont="1" applyBorder="1" applyAlignment="1">
      <alignment horizontal="distributed" vertical="center"/>
      <protection/>
    </xf>
    <xf numFmtId="0" fontId="8" fillId="0" borderId="91" xfId="60" applyFont="1" applyBorder="1" applyAlignment="1">
      <alignment horizontal="distributed" vertical="center"/>
      <protection/>
    </xf>
    <xf numFmtId="0" fontId="3" fillId="0" borderId="19" xfId="60" applyFont="1" applyBorder="1" applyAlignment="1">
      <alignment horizontal="distributed" vertical="center"/>
      <protection/>
    </xf>
    <xf numFmtId="0" fontId="3" fillId="0" borderId="92" xfId="60" applyFont="1" applyBorder="1" applyAlignment="1">
      <alignment horizontal="distributed" vertical="center"/>
      <protection/>
    </xf>
    <xf numFmtId="0" fontId="3" fillId="0" borderId="0" xfId="60" applyFont="1" applyBorder="1" applyAlignment="1">
      <alignment horizontal="left" vertical="top" wrapText="1"/>
      <protection/>
    </xf>
    <xf numFmtId="0" fontId="3" fillId="0" borderId="0" xfId="60" applyFont="1" applyAlignment="1">
      <alignment horizontal="left" vertical="top" wrapText="1"/>
      <protection/>
    </xf>
    <xf numFmtId="0" fontId="3" fillId="0" borderId="88" xfId="60" applyFont="1" applyBorder="1" applyAlignment="1">
      <alignment horizontal="center" vertical="center"/>
      <protection/>
    </xf>
    <xf numFmtId="0" fontId="3" fillId="0" borderId="93" xfId="60" applyFont="1" applyBorder="1" applyAlignment="1">
      <alignment horizontal="center" vertical="center"/>
      <protection/>
    </xf>
    <xf numFmtId="0" fontId="3" fillId="0" borderId="94" xfId="60" applyFont="1" applyBorder="1" applyAlignment="1">
      <alignment horizontal="center" vertical="center"/>
      <protection/>
    </xf>
    <xf numFmtId="0" fontId="3" fillId="0" borderId="25" xfId="60" applyFont="1" applyBorder="1" applyAlignment="1">
      <alignment horizontal="center" vertical="center"/>
      <protection/>
    </xf>
    <xf numFmtId="0" fontId="3" fillId="0" borderId="95" xfId="60" applyFont="1" applyBorder="1" applyAlignment="1">
      <alignment horizontal="center" vertical="center"/>
      <protection/>
    </xf>
    <xf numFmtId="0" fontId="3" fillId="0" borderId="96" xfId="60" applyFont="1" applyBorder="1" applyAlignment="1">
      <alignment horizontal="center" vertical="center"/>
      <protection/>
    </xf>
    <xf numFmtId="0" fontId="3" fillId="0" borderId="97" xfId="60" applyFont="1" applyBorder="1" applyAlignment="1">
      <alignment horizontal="center" vertical="center"/>
      <protection/>
    </xf>
    <xf numFmtId="0" fontId="3" fillId="0" borderId="98" xfId="60" applyFont="1" applyBorder="1" applyAlignment="1">
      <alignment horizontal="center" vertical="center"/>
      <protection/>
    </xf>
    <xf numFmtId="0" fontId="3" fillId="0" borderId="87" xfId="60" applyFont="1" applyBorder="1" applyAlignment="1">
      <alignment horizontal="center" vertical="center"/>
      <protection/>
    </xf>
    <xf numFmtId="0" fontId="3" fillId="0" borderId="0" xfId="60" applyFont="1" applyBorder="1" applyAlignment="1">
      <alignment horizontal="left" vertical="center"/>
      <protection/>
    </xf>
    <xf numFmtId="0" fontId="3" fillId="0" borderId="0" xfId="60" applyFont="1" applyAlignment="1">
      <alignment horizontal="left" vertical="center"/>
      <protection/>
    </xf>
    <xf numFmtId="0" fontId="3" fillId="0" borderId="46" xfId="60" applyFont="1" applyBorder="1" applyAlignment="1">
      <alignment horizontal="distributed" vertical="center" wrapText="1"/>
      <protection/>
    </xf>
    <xf numFmtId="0" fontId="3" fillId="0" borderId="99" xfId="60" applyFont="1" applyBorder="1" applyAlignment="1">
      <alignment horizontal="distributed" vertical="center" wrapText="1"/>
      <protection/>
    </xf>
    <xf numFmtId="0" fontId="3" fillId="0" borderId="100" xfId="60" applyFont="1" applyBorder="1" applyAlignment="1">
      <alignment horizontal="distributed" vertical="center" wrapText="1"/>
      <protection/>
    </xf>
    <xf numFmtId="0" fontId="3" fillId="0" borderId="101" xfId="60" applyFont="1" applyBorder="1" applyAlignment="1">
      <alignment horizontal="center" vertical="center"/>
      <protection/>
    </xf>
    <xf numFmtId="0" fontId="3" fillId="0" borderId="102" xfId="60" applyFont="1" applyBorder="1" applyAlignment="1">
      <alignment horizontal="center" vertical="center"/>
      <protection/>
    </xf>
    <xf numFmtId="0" fontId="3" fillId="0" borderId="103" xfId="60" applyFont="1" applyBorder="1" applyAlignment="1">
      <alignment horizontal="center" vertical="center"/>
      <protection/>
    </xf>
    <xf numFmtId="0" fontId="3" fillId="0" borderId="104" xfId="60" applyFont="1" applyBorder="1" applyAlignment="1">
      <alignment horizontal="center" vertical="center"/>
      <protection/>
    </xf>
    <xf numFmtId="0" fontId="3" fillId="0" borderId="105" xfId="60" applyFont="1" applyBorder="1" applyAlignment="1">
      <alignment horizontal="center" vertical="center"/>
      <protection/>
    </xf>
    <xf numFmtId="0" fontId="3" fillId="0" borderId="106" xfId="60" applyFont="1" applyBorder="1" applyAlignment="1">
      <alignment horizontal="center" vertical="center" wrapText="1"/>
      <protection/>
    </xf>
    <xf numFmtId="0" fontId="3" fillId="0" borderId="107" xfId="60" applyFont="1" applyBorder="1" applyAlignment="1">
      <alignment horizontal="center" vertical="center"/>
      <protection/>
    </xf>
    <xf numFmtId="0" fontId="3" fillId="0" borderId="108" xfId="60" applyFont="1" applyBorder="1" applyAlignment="1">
      <alignment horizontal="center" vertical="center"/>
      <protection/>
    </xf>
    <xf numFmtId="0" fontId="3" fillId="0" borderId="106" xfId="60" applyFont="1" applyBorder="1" applyAlignment="1">
      <alignment horizontal="center" vertical="center"/>
      <protection/>
    </xf>
    <xf numFmtId="0" fontId="3" fillId="0" borderId="78" xfId="60" applyFont="1" applyBorder="1" applyAlignment="1">
      <alignment horizontal="distributed" vertical="center"/>
      <protection/>
    </xf>
    <xf numFmtId="0" fontId="3" fillId="0" borderId="80" xfId="60" applyFont="1" applyBorder="1" applyAlignment="1">
      <alignment horizontal="distributed" vertical="center"/>
      <protection/>
    </xf>
    <xf numFmtId="0" fontId="3" fillId="0" borderId="109" xfId="60" applyFont="1" applyBorder="1" applyAlignment="1">
      <alignment horizontal="distributed" vertical="center"/>
      <protection/>
    </xf>
    <xf numFmtId="0" fontId="3" fillId="0" borderId="110" xfId="60" applyFont="1" applyBorder="1" applyAlignment="1">
      <alignment horizontal="center" vertical="center"/>
      <protection/>
    </xf>
    <xf numFmtId="0" fontId="3" fillId="0" borderId="111" xfId="60" applyFont="1" applyBorder="1" applyAlignment="1">
      <alignment horizontal="left" vertical="center"/>
      <protection/>
    </xf>
    <xf numFmtId="0" fontId="3" fillId="0" borderId="112" xfId="60" applyFont="1" applyBorder="1" applyAlignment="1">
      <alignment horizontal="distributed" vertical="center" wrapText="1"/>
      <protection/>
    </xf>
    <xf numFmtId="0" fontId="3" fillId="0" borderId="113" xfId="60" applyFont="1" applyBorder="1" applyAlignment="1">
      <alignment horizontal="distributed" vertical="center"/>
      <protection/>
    </xf>
    <xf numFmtId="0" fontId="3" fillId="0" borderId="114" xfId="60" applyFont="1" applyBorder="1" applyAlignment="1">
      <alignment horizontal="distributed" vertical="center" wrapText="1"/>
      <protection/>
    </xf>
    <xf numFmtId="0" fontId="3" fillId="0" borderId="115" xfId="60" applyFont="1" applyBorder="1" applyAlignment="1">
      <alignment horizontal="distributed" vertical="center"/>
      <protection/>
    </xf>
    <xf numFmtId="0" fontId="3" fillId="0" borderId="116" xfId="60" applyFont="1" applyBorder="1" applyAlignment="1">
      <alignment horizontal="distributed" vertical="center" wrapText="1"/>
      <protection/>
    </xf>
    <xf numFmtId="0" fontId="3" fillId="0" borderId="117" xfId="60" applyFont="1" applyBorder="1" applyAlignment="1">
      <alignment horizontal="distributed" vertical="center" wrapText="1"/>
      <protection/>
    </xf>
    <xf numFmtId="0" fontId="3" fillId="0" borderId="24" xfId="60" applyFont="1" applyBorder="1" applyAlignment="1">
      <alignment horizontal="center" vertical="center"/>
      <protection/>
    </xf>
    <xf numFmtId="0" fontId="3" fillId="0" borderId="110" xfId="60" applyFont="1" applyBorder="1" applyAlignment="1">
      <alignment horizontal="center" vertical="center" wrapText="1"/>
      <protection/>
    </xf>
    <xf numFmtId="0" fontId="3" fillId="0" borderId="25" xfId="60" applyFont="1" applyBorder="1" applyAlignment="1">
      <alignment horizontal="left" vertical="center"/>
      <protection/>
    </xf>
    <xf numFmtId="0" fontId="3" fillId="0" borderId="118" xfId="60" applyFont="1" applyBorder="1" applyAlignment="1">
      <alignment horizontal="center" vertical="center"/>
      <protection/>
    </xf>
    <xf numFmtId="0" fontId="3" fillId="0" borderId="119" xfId="60" applyFont="1" applyBorder="1" applyAlignment="1">
      <alignment horizontal="center" vertical="center"/>
      <protection/>
    </xf>
    <xf numFmtId="0" fontId="3" fillId="0" borderId="120"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9"/>
  <sheetViews>
    <sheetView showGridLines="0" tabSelected="1" view="pageBreakPreview" zoomScaleSheetLayoutView="100" zoomScalePageLayoutView="0" workbookViewId="0" topLeftCell="A1">
      <selection activeCell="A1" sqref="A1:K1"/>
    </sheetView>
  </sheetViews>
  <sheetFormatPr defaultColWidth="5.8515625" defaultRowHeight="15"/>
  <cols>
    <col min="1" max="1" width="10.57421875" style="2" customWidth="1"/>
    <col min="2" max="2" width="16.00390625" style="2" customWidth="1"/>
    <col min="3" max="3" width="3.00390625" style="2" customWidth="1"/>
    <col min="4" max="4" width="6.7109375" style="2" customWidth="1"/>
    <col min="5" max="5" width="9.7109375" style="2" customWidth="1"/>
    <col min="6" max="6" width="3.00390625" style="2" customWidth="1"/>
    <col min="7" max="7" width="6.7109375" style="2" customWidth="1"/>
    <col min="8" max="8" width="11.421875" style="2" bestFit="1" customWidth="1"/>
    <col min="9" max="9" width="3.00390625" style="2" customWidth="1"/>
    <col min="10" max="10" width="6.7109375" style="2" customWidth="1"/>
    <col min="11" max="11" width="11.421875" style="2" bestFit="1" customWidth="1"/>
    <col min="12" max="16384" width="5.8515625" style="2" customWidth="1"/>
  </cols>
  <sheetData>
    <row r="1" spans="1:11" ht="15">
      <c r="A1" s="143" t="s">
        <v>65</v>
      </c>
      <c r="B1" s="143"/>
      <c r="C1" s="143"/>
      <c r="D1" s="143"/>
      <c r="E1" s="143"/>
      <c r="F1" s="143"/>
      <c r="G1" s="143"/>
      <c r="H1" s="143"/>
      <c r="I1" s="143"/>
      <c r="J1" s="143"/>
      <c r="K1" s="143"/>
    </row>
    <row r="2" spans="1:11" ht="15">
      <c r="A2" s="88"/>
      <c r="B2" s="88"/>
      <c r="C2" s="88"/>
      <c r="D2" s="88"/>
      <c r="E2" s="88"/>
      <c r="F2" s="88"/>
      <c r="G2" s="88"/>
      <c r="H2" s="88"/>
      <c r="I2" s="88"/>
      <c r="J2" s="88"/>
      <c r="K2" s="88"/>
    </row>
    <row r="3" spans="1:11" ht="12" thickBot="1">
      <c r="A3" s="144" t="s">
        <v>64</v>
      </c>
      <c r="B3" s="144"/>
      <c r="C3" s="144"/>
      <c r="D3" s="144"/>
      <c r="E3" s="144"/>
      <c r="F3" s="144"/>
      <c r="G3" s="144"/>
      <c r="H3" s="144"/>
      <c r="I3" s="144"/>
      <c r="J3" s="144"/>
      <c r="K3" s="144"/>
    </row>
    <row r="4" spans="1:11" ht="24" customHeight="1">
      <c r="A4" s="145" t="s">
        <v>63</v>
      </c>
      <c r="B4" s="146"/>
      <c r="C4" s="149" t="s">
        <v>62</v>
      </c>
      <c r="D4" s="150"/>
      <c r="E4" s="151"/>
      <c r="F4" s="149" t="s">
        <v>61</v>
      </c>
      <c r="G4" s="150"/>
      <c r="H4" s="151"/>
      <c r="I4" s="149" t="s">
        <v>60</v>
      </c>
      <c r="J4" s="150"/>
      <c r="K4" s="152"/>
    </row>
    <row r="5" spans="1:11" ht="24" customHeight="1">
      <c r="A5" s="147"/>
      <c r="B5" s="148"/>
      <c r="C5" s="153" t="s">
        <v>59</v>
      </c>
      <c r="D5" s="154"/>
      <c r="E5" s="59" t="s">
        <v>58</v>
      </c>
      <c r="F5" s="153" t="s">
        <v>59</v>
      </c>
      <c r="G5" s="154"/>
      <c r="H5" s="59" t="s">
        <v>58</v>
      </c>
      <c r="I5" s="153" t="s">
        <v>59</v>
      </c>
      <c r="J5" s="154"/>
      <c r="K5" s="58" t="s">
        <v>58</v>
      </c>
    </row>
    <row r="6" spans="1:11" ht="12" customHeight="1">
      <c r="A6" s="57"/>
      <c r="B6" s="56"/>
      <c r="C6" s="55"/>
      <c r="D6" s="23" t="s">
        <v>57</v>
      </c>
      <c r="E6" s="7" t="s">
        <v>56</v>
      </c>
      <c r="F6" s="55"/>
      <c r="G6" s="23" t="s">
        <v>57</v>
      </c>
      <c r="H6" s="7" t="s">
        <v>56</v>
      </c>
      <c r="I6" s="55"/>
      <c r="J6" s="23" t="s">
        <v>57</v>
      </c>
      <c r="K6" s="54" t="s">
        <v>56</v>
      </c>
    </row>
    <row r="7" spans="1:11" ht="30" customHeight="1">
      <c r="A7" s="155" t="s">
        <v>55</v>
      </c>
      <c r="B7" s="53" t="s">
        <v>54</v>
      </c>
      <c r="C7" s="45"/>
      <c r="D7" s="99">
        <v>17401</v>
      </c>
      <c r="E7" s="52">
        <v>7420679</v>
      </c>
      <c r="F7" s="49"/>
      <c r="G7" s="99">
        <v>54639</v>
      </c>
      <c r="H7" s="52">
        <v>214936020</v>
      </c>
      <c r="I7" s="49"/>
      <c r="J7" s="99">
        <v>72040</v>
      </c>
      <c r="K7" s="51">
        <v>222356700</v>
      </c>
    </row>
    <row r="8" spans="1:11" ht="30" customHeight="1">
      <c r="A8" s="156"/>
      <c r="B8" s="50" t="s">
        <v>53</v>
      </c>
      <c r="C8" s="45"/>
      <c r="D8" s="100">
        <v>33689</v>
      </c>
      <c r="E8" s="101">
        <v>8991291</v>
      </c>
      <c r="F8" s="49"/>
      <c r="G8" s="100">
        <v>22945</v>
      </c>
      <c r="H8" s="101">
        <v>8836508</v>
      </c>
      <c r="I8" s="49"/>
      <c r="J8" s="100">
        <v>56634</v>
      </c>
      <c r="K8" s="102">
        <v>17827800</v>
      </c>
    </row>
    <row r="9" spans="1:11" s="36" customFormat="1" ht="30" customHeight="1">
      <c r="A9" s="156"/>
      <c r="B9" s="48" t="s">
        <v>52</v>
      </c>
      <c r="C9" s="47"/>
      <c r="D9" s="103">
        <v>51090</v>
      </c>
      <c r="E9" s="104">
        <v>16411971</v>
      </c>
      <c r="F9" s="47"/>
      <c r="G9" s="103">
        <v>77584</v>
      </c>
      <c r="H9" s="104">
        <v>223772529</v>
      </c>
      <c r="I9" s="47"/>
      <c r="J9" s="103">
        <v>128674</v>
      </c>
      <c r="K9" s="105">
        <v>240184500</v>
      </c>
    </row>
    <row r="10" spans="1:11" ht="30" customHeight="1">
      <c r="A10" s="157"/>
      <c r="B10" s="46" t="s">
        <v>51</v>
      </c>
      <c r="C10" s="45"/>
      <c r="D10" s="106">
        <v>3008</v>
      </c>
      <c r="E10" s="107">
        <v>1100427</v>
      </c>
      <c r="F10" s="45"/>
      <c r="G10" s="106">
        <v>3411</v>
      </c>
      <c r="H10" s="107">
        <v>12767214</v>
      </c>
      <c r="I10" s="45"/>
      <c r="J10" s="106">
        <v>6419</v>
      </c>
      <c r="K10" s="108">
        <v>13867641</v>
      </c>
    </row>
    <row r="11" spans="1:11" ht="30" customHeight="1">
      <c r="A11" s="158" t="s">
        <v>50</v>
      </c>
      <c r="B11" s="44" t="s">
        <v>49</v>
      </c>
      <c r="C11" s="89"/>
      <c r="D11" s="109">
        <v>2737</v>
      </c>
      <c r="E11" s="43">
        <v>351984</v>
      </c>
      <c r="F11" s="42"/>
      <c r="G11" s="110">
        <v>3973</v>
      </c>
      <c r="H11" s="43">
        <v>1794059</v>
      </c>
      <c r="I11" s="42"/>
      <c r="J11" s="110">
        <v>6710</v>
      </c>
      <c r="K11" s="41">
        <v>2146043</v>
      </c>
    </row>
    <row r="12" spans="1:11" ht="30" customHeight="1">
      <c r="A12" s="159"/>
      <c r="B12" s="40" t="s">
        <v>48</v>
      </c>
      <c r="C12" s="39"/>
      <c r="D12" s="100">
        <v>291</v>
      </c>
      <c r="E12" s="101">
        <v>35408</v>
      </c>
      <c r="F12" s="38"/>
      <c r="G12" s="111">
        <v>591</v>
      </c>
      <c r="H12" s="101">
        <v>399215</v>
      </c>
      <c r="I12" s="38"/>
      <c r="J12" s="111">
        <v>882</v>
      </c>
      <c r="K12" s="102">
        <v>434623</v>
      </c>
    </row>
    <row r="13" spans="1:11" s="36" customFormat="1" ht="30" customHeight="1">
      <c r="A13" s="160" t="s">
        <v>47</v>
      </c>
      <c r="B13" s="161"/>
      <c r="C13" s="37" t="s">
        <v>46</v>
      </c>
      <c r="D13" s="112">
        <v>55124</v>
      </c>
      <c r="E13" s="113">
        <v>15628120</v>
      </c>
      <c r="F13" s="37" t="s">
        <v>46</v>
      </c>
      <c r="G13" s="112">
        <v>81826</v>
      </c>
      <c r="H13" s="113">
        <v>212400159</v>
      </c>
      <c r="I13" s="37" t="s">
        <v>46</v>
      </c>
      <c r="J13" s="112">
        <v>136950</v>
      </c>
      <c r="K13" s="114">
        <v>228028279</v>
      </c>
    </row>
    <row r="14" spans="1:11" ht="30" customHeight="1" thickBot="1">
      <c r="A14" s="162" t="s">
        <v>45</v>
      </c>
      <c r="B14" s="163"/>
      <c r="C14" s="35"/>
      <c r="D14" s="115">
        <v>2198</v>
      </c>
      <c r="E14" s="116">
        <v>58354</v>
      </c>
      <c r="F14" s="34"/>
      <c r="G14" s="115">
        <v>3101</v>
      </c>
      <c r="H14" s="116">
        <v>351765</v>
      </c>
      <c r="I14" s="34"/>
      <c r="J14" s="115">
        <v>5299</v>
      </c>
      <c r="K14" s="117">
        <v>410119</v>
      </c>
    </row>
    <row r="15" spans="1:11" s="95" customFormat="1" ht="3" customHeight="1">
      <c r="A15" s="91"/>
      <c r="B15" s="91"/>
      <c r="C15" s="92"/>
      <c r="D15" s="93"/>
      <c r="E15" s="93"/>
      <c r="F15" s="93"/>
      <c r="G15" s="93"/>
      <c r="H15" s="93"/>
      <c r="I15" s="93"/>
      <c r="J15" s="93"/>
      <c r="K15" s="93"/>
    </row>
    <row r="16" spans="1:11" s="1" customFormat="1" ht="37.5" customHeight="1">
      <c r="A16" s="94" t="s">
        <v>102</v>
      </c>
      <c r="B16" s="164" t="s">
        <v>97</v>
      </c>
      <c r="C16" s="164"/>
      <c r="D16" s="164"/>
      <c r="E16" s="164"/>
      <c r="F16" s="164"/>
      <c r="G16" s="164"/>
      <c r="H16" s="164"/>
      <c r="I16" s="164"/>
      <c r="J16" s="164"/>
      <c r="K16" s="164"/>
    </row>
    <row r="17" spans="2:11" ht="55.5" customHeight="1">
      <c r="B17" s="165" t="s">
        <v>103</v>
      </c>
      <c r="C17" s="165"/>
      <c r="D17" s="165"/>
      <c r="E17" s="165"/>
      <c r="F17" s="165"/>
      <c r="G17" s="165"/>
      <c r="H17" s="165"/>
      <c r="I17" s="165"/>
      <c r="J17" s="165"/>
      <c r="K17" s="165"/>
    </row>
    <row r="18" spans="1:2" ht="14.25" customHeight="1">
      <c r="A18" s="2" t="s">
        <v>104</v>
      </c>
      <c r="B18" s="2" t="s">
        <v>105</v>
      </c>
    </row>
    <row r="19" spans="1:2" ht="11.25">
      <c r="A19" s="90" t="s">
        <v>106</v>
      </c>
      <c r="B19" s="2" t="s">
        <v>107</v>
      </c>
    </row>
  </sheetData>
  <sheetProtection/>
  <mergeCells count="15">
    <mergeCell ref="A7:A10"/>
    <mergeCell ref="A11:A12"/>
    <mergeCell ref="A13:B13"/>
    <mergeCell ref="A14:B14"/>
    <mergeCell ref="B16:K16"/>
    <mergeCell ref="B17:K17"/>
    <mergeCell ref="A1:K1"/>
    <mergeCell ref="A3:K3"/>
    <mergeCell ref="A4:B5"/>
    <mergeCell ref="C4:E4"/>
    <mergeCell ref="F4:H4"/>
    <mergeCell ref="I4:K4"/>
    <mergeCell ref="C5:D5"/>
    <mergeCell ref="F5:G5"/>
    <mergeCell ref="I5:J5"/>
  </mergeCells>
  <printOptions horizontalCentered="1"/>
  <pageMargins left="0.8267716535433072" right="0.4330708661417323" top="0.984251968503937" bottom="0.984251968503937" header="0.5118110236220472" footer="0.5118110236220472"/>
  <pageSetup horizontalDpi="600" verticalDpi="600" orientation="portrait" paperSize="9" scale="90" r:id="rId1"/>
  <headerFooter alignWithMargins="0">
    <oddFooter>&amp;R&amp;9札幌国税局　
消費税
（H25）</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view="pageBreakPreview" zoomScaleSheetLayoutView="100" workbookViewId="0" topLeftCell="A1">
      <selection activeCell="A1" sqref="A1"/>
    </sheetView>
  </sheetViews>
  <sheetFormatPr defaultColWidth="9.14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2" thickBot="1">
      <c r="A1" s="2" t="s">
        <v>71</v>
      </c>
    </row>
    <row r="2" spans="1:8" s="2" customFormat="1" ht="15" customHeight="1">
      <c r="A2" s="145" t="s">
        <v>63</v>
      </c>
      <c r="B2" s="146"/>
      <c r="C2" s="168" t="s">
        <v>62</v>
      </c>
      <c r="D2" s="168"/>
      <c r="E2" s="168" t="s">
        <v>70</v>
      </c>
      <c r="F2" s="168"/>
      <c r="G2" s="169" t="s">
        <v>69</v>
      </c>
      <c r="H2" s="170"/>
    </row>
    <row r="3" spans="1:8" s="2" customFormat="1" ht="15" customHeight="1">
      <c r="A3" s="147"/>
      <c r="B3" s="148"/>
      <c r="C3" s="89" t="s">
        <v>68</v>
      </c>
      <c r="D3" s="59" t="s">
        <v>67</v>
      </c>
      <c r="E3" s="89" t="s">
        <v>68</v>
      </c>
      <c r="F3" s="75" t="s">
        <v>67</v>
      </c>
      <c r="G3" s="89" t="s">
        <v>68</v>
      </c>
      <c r="H3" s="74" t="s">
        <v>67</v>
      </c>
    </row>
    <row r="4" spans="1:8" s="69" customFormat="1" ht="15" customHeight="1">
      <c r="A4" s="73"/>
      <c r="B4" s="59"/>
      <c r="C4" s="71" t="s">
        <v>7</v>
      </c>
      <c r="D4" s="72" t="s">
        <v>8</v>
      </c>
      <c r="E4" s="71" t="s">
        <v>7</v>
      </c>
      <c r="F4" s="72" t="s">
        <v>8</v>
      </c>
      <c r="G4" s="71" t="s">
        <v>7</v>
      </c>
      <c r="H4" s="70" t="s">
        <v>8</v>
      </c>
    </row>
    <row r="5" spans="1:8" s="64" customFormat="1" ht="30" customHeight="1">
      <c r="A5" s="171" t="s">
        <v>98</v>
      </c>
      <c r="B5" s="53" t="s">
        <v>66</v>
      </c>
      <c r="C5" s="68">
        <v>57616</v>
      </c>
      <c r="D5" s="52">
        <v>16324504</v>
      </c>
      <c r="E5" s="68">
        <v>82300</v>
      </c>
      <c r="F5" s="52">
        <v>228695593</v>
      </c>
      <c r="G5" s="68">
        <v>139916</v>
      </c>
      <c r="H5" s="51">
        <v>245020097</v>
      </c>
    </row>
    <row r="6" spans="1:8" s="64" customFormat="1" ht="30" customHeight="1">
      <c r="A6" s="172"/>
      <c r="B6" s="46" t="s">
        <v>1</v>
      </c>
      <c r="C6" s="66">
        <v>2960</v>
      </c>
      <c r="D6" s="67">
        <v>1107402</v>
      </c>
      <c r="E6" s="66">
        <v>3367</v>
      </c>
      <c r="F6" s="67">
        <v>9676899</v>
      </c>
      <c r="G6" s="66">
        <v>6327</v>
      </c>
      <c r="H6" s="65">
        <v>10784301</v>
      </c>
    </row>
    <row r="7" spans="1:8" s="64" customFormat="1" ht="30" customHeight="1">
      <c r="A7" s="173" t="s">
        <v>99</v>
      </c>
      <c r="B7" s="63" t="s">
        <v>66</v>
      </c>
      <c r="C7" s="62">
        <v>57101</v>
      </c>
      <c r="D7" s="43">
        <v>16286130</v>
      </c>
      <c r="E7" s="62">
        <v>80648</v>
      </c>
      <c r="F7" s="43">
        <v>231209226</v>
      </c>
      <c r="G7" s="62">
        <v>137749</v>
      </c>
      <c r="H7" s="41">
        <v>247495355</v>
      </c>
    </row>
    <row r="8" spans="1:8" s="64" customFormat="1" ht="30" customHeight="1">
      <c r="A8" s="174"/>
      <c r="B8" s="46" t="s">
        <v>1</v>
      </c>
      <c r="C8" s="66">
        <v>2957</v>
      </c>
      <c r="D8" s="67">
        <v>1081118</v>
      </c>
      <c r="E8" s="66">
        <v>3264</v>
      </c>
      <c r="F8" s="67">
        <v>7872046</v>
      </c>
      <c r="G8" s="66">
        <v>6221</v>
      </c>
      <c r="H8" s="65">
        <v>8953164</v>
      </c>
    </row>
    <row r="9" spans="1:8" s="64" customFormat="1" ht="30" customHeight="1">
      <c r="A9" s="166" t="s">
        <v>76</v>
      </c>
      <c r="B9" s="63" t="s">
        <v>66</v>
      </c>
      <c r="C9" s="62">
        <v>53659</v>
      </c>
      <c r="D9" s="43">
        <v>16105186</v>
      </c>
      <c r="E9" s="62">
        <v>79023</v>
      </c>
      <c r="F9" s="43">
        <v>224434071</v>
      </c>
      <c r="G9" s="62">
        <v>132682</v>
      </c>
      <c r="H9" s="41">
        <v>240539257</v>
      </c>
    </row>
    <row r="10" spans="1:8" s="64" customFormat="1" ht="30" customHeight="1">
      <c r="A10" s="172"/>
      <c r="B10" s="46" t="s">
        <v>1</v>
      </c>
      <c r="C10" s="66">
        <v>2636</v>
      </c>
      <c r="D10" s="67">
        <v>862756</v>
      </c>
      <c r="E10" s="66">
        <v>3149</v>
      </c>
      <c r="F10" s="67">
        <v>9275797</v>
      </c>
      <c r="G10" s="66">
        <v>5785</v>
      </c>
      <c r="H10" s="65">
        <v>10138553</v>
      </c>
    </row>
    <row r="11" spans="1:8" s="64" customFormat="1" ht="30" customHeight="1">
      <c r="A11" s="166" t="s">
        <v>96</v>
      </c>
      <c r="B11" s="63" t="s">
        <v>66</v>
      </c>
      <c r="C11" s="62">
        <v>51190</v>
      </c>
      <c r="D11" s="43">
        <v>15880012</v>
      </c>
      <c r="E11" s="62">
        <v>78039</v>
      </c>
      <c r="F11" s="43">
        <v>220012892</v>
      </c>
      <c r="G11" s="62">
        <v>129229</v>
      </c>
      <c r="H11" s="41">
        <v>235892904</v>
      </c>
    </row>
    <row r="12" spans="1:8" s="64" customFormat="1" ht="30" customHeight="1">
      <c r="A12" s="172"/>
      <c r="B12" s="46" t="s">
        <v>1</v>
      </c>
      <c r="C12" s="66">
        <v>2557</v>
      </c>
      <c r="D12" s="67">
        <v>945236</v>
      </c>
      <c r="E12" s="66">
        <v>3225</v>
      </c>
      <c r="F12" s="67">
        <v>11596755</v>
      </c>
      <c r="G12" s="66">
        <v>5782</v>
      </c>
      <c r="H12" s="65">
        <v>12541991</v>
      </c>
    </row>
    <row r="13" spans="1:8" s="2" customFormat="1" ht="30" customHeight="1">
      <c r="A13" s="166" t="s">
        <v>100</v>
      </c>
      <c r="B13" s="63" t="s">
        <v>66</v>
      </c>
      <c r="C13" s="62">
        <v>51090</v>
      </c>
      <c r="D13" s="43">
        <v>16411971</v>
      </c>
      <c r="E13" s="62">
        <v>77584</v>
      </c>
      <c r="F13" s="43">
        <v>223772529</v>
      </c>
      <c r="G13" s="62">
        <v>128674</v>
      </c>
      <c r="H13" s="41">
        <v>240184500</v>
      </c>
    </row>
    <row r="14" spans="1:8" s="2" customFormat="1" ht="30" customHeight="1" thickBot="1">
      <c r="A14" s="167"/>
      <c r="B14" s="61" t="s">
        <v>1</v>
      </c>
      <c r="C14" s="118">
        <v>3008</v>
      </c>
      <c r="D14" s="119">
        <v>1100427</v>
      </c>
      <c r="E14" s="118">
        <v>3411</v>
      </c>
      <c r="F14" s="119">
        <v>12767214</v>
      </c>
      <c r="G14" s="118">
        <v>6419</v>
      </c>
      <c r="H14" s="120">
        <v>13867641</v>
      </c>
    </row>
    <row r="15" spans="5:7" s="2" customFormat="1" ht="11.25">
      <c r="E15" s="60"/>
      <c r="G15" s="60"/>
    </row>
    <row r="16" spans="5:7" s="2" customFormat="1" ht="11.25">
      <c r="E16" s="60"/>
      <c r="G16" s="60"/>
    </row>
    <row r="17" spans="5:7" s="2" customFormat="1" ht="11.25">
      <c r="E17" s="60"/>
      <c r="G17" s="60"/>
    </row>
    <row r="18" spans="5:7" s="2" customFormat="1" ht="11.25">
      <c r="E18" s="60"/>
      <c r="G18" s="60"/>
    </row>
    <row r="19" spans="5:7" s="2" customFormat="1" ht="11.25">
      <c r="E19" s="60"/>
      <c r="G19" s="60"/>
    </row>
    <row r="20" spans="5:7" s="2" customFormat="1" ht="11.25">
      <c r="E20" s="60"/>
      <c r="G20" s="60"/>
    </row>
    <row r="21" spans="5:7" s="2" customFormat="1" ht="11.25">
      <c r="E21" s="60"/>
      <c r="G21" s="60"/>
    </row>
    <row r="22" spans="5:7" s="2" customFormat="1" ht="11.25">
      <c r="E22" s="60"/>
      <c r="G22" s="60"/>
    </row>
  </sheetData>
  <sheetProtection/>
  <mergeCells count="9">
    <mergeCell ref="A13:A14"/>
    <mergeCell ref="A2:B3"/>
    <mergeCell ref="C2:D2"/>
    <mergeCell ref="E2:F2"/>
    <mergeCell ref="G2:H2"/>
    <mergeCell ref="A5:A6"/>
    <mergeCell ref="A7:A8"/>
    <mergeCell ref="A9:A10"/>
    <mergeCell ref="A11:A12"/>
  </mergeCells>
  <printOptions horizontalCentered="1"/>
  <pageMargins left="0.8267716535433072" right="0.4330708661417323" top="0.984251968503937" bottom="0.984251968503937" header="0.5118110236220472" footer="0.5118110236220472"/>
  <pageSetup horizontalDpi="600" verticalDpi="600" orientation="portrait" paperSize="9" scale="90" r:id="rId1"/>
  <headerFooter alignWithMargins="0">
    <oddFooter>&amp;R&amp;9札幌国税局　
消費税
（H25）</oddFooter>
  </headerFooter>
  <colBreaks count="1" manualBreakCount="1">
    <brk id="8" max="13" man="1"/>
  </colBreaks>
</worksheet>
</file>

<file path=xl/worksheets/sheet3.xml><?xml version="1.0" encoding="utf-8"?>
<worksheet xmlns="http://schemas.openxmlformats.org/spreadsheetml/2006/main" xmlns:r="http://schemas.openxmlformats.org/officeDocument/2006/relationships">
  <dimension ref="A1:I7"/>
  <sheetViews>
    <sheetView showGridLines="0" view="pageBreakPreview" zoomScaleSheetLayoutView="100" zoomScalePageLayoutView="0" workbookViewId="0" topLeftCell="A1">
      <selection activeCell="A1" sqref="A1"/>
    </sheetView>
  </sheetViews>
  <sheetFormatPr defaultColWidth="9.140625" defaultRowHeight="15"/>
  <cols>
    <col min="1" max="2" width="18.57421875" style="3" customWidth="1"/>
    <col min="3" max="3" width="23.57421875" style="3" customWidth="1"/>
    <col min="4" max="4" width="18.57421875" style="3" customWidth="1"/>
    <col min="5" max="5" width="3.140625" style="3" customWidth="1"/>
    <col min="6" max="16384" width="9.00390625" style="3" customWidth="1"/>
  </cols>
  <sheetData>
    <row r="1" s="69" customFormat="1" ht="15" customHeight="1" thickBot="1">
      <c r="A1" s="69" t="s">
        <v>72</v>
      </c>
    </row>
    <row r="2" spans="1:4" s="1" customFormat="1" ht="19.5" customHeight="1">
      <c r="A2" s="76" t="s">
        <v>73</v>
      </c>
      <c r="B2" s="77" t="s">
        <v>74</v>
      </c>
      <c r="C2" s="78" t="s">
        <v>75</v>
      </c>
      <c r="D2" s="79" t="s">
        <v>95</v>
      </c>
    </row>
    <row r="3" spans="1:4" s="69" customFormat="1" ht="15" customHeight="1">
      <c r="A3" s="80" t="s">
        <v>7</v>
      </c>
      <c r="B3" s="81" t="s">
        <v>7</v>
      </c>
      <c r="C3" s="82" t="s">
        <v>7</v>
      </c>
      <c r="D3" s="83" t="s">
        <v>7</v>
      </c>
    </row>
    <row r="4" spans="1:9" s="1" customFormat="1" ht="30" customHeight="1" thickBot="1">
      <c r="A4" s="121">
        <v>137677</v>
      </c>
      <c r="B4" s="122">
        <v>3378</v>
      </c>
      <c r="C4" s="123">
        <v>316</v>
      </c>
      <c r="D4" s="124">
        <v>141371</v>
      </c>
      <c r="E4" s="84"/>
      <c r="G4" s="84"/>
      <c r="I4" s="84"/>
    </row>
    <row r="5" spans="1:9" s="98" customFormat="1" ht="3" customHeight="1">
      <c r="A5" s="96"/>
      <c r="B5" s="96"/>
      <c r="C5" s="96"/>
      <c r="D5" s="96"/>
      <c r="E5" s="97"/>
      <c r="G5" s="97"/>
      <c r="I5" s="97"/>
    </row>
    <row r="6" spans="1:4" s="1" customFormat="1" ht="15" customHeight="1">
      <c r="A6" s="175" t="s">
        <v>101</v>
      </c>
      <c r="B6" s="175"/>
      <c r="C6" s="175"/>
      <c r="D6" s="175"/>
    </row>
    <row r="7" spans="1:5" s="1" customFormat="1" ht="15" customHeight="1">
      <c r="A7" s="176" t="s">
        <v>94</v>
      </c>
      <c r="B7" s="176"/>
      <c r="C7" s="176"/>
      <c r="D7" s="176"/>
      <c r="E7" s="176"/>
    </row>
  </sheetData>
  <sheetProtection/>
  <mergeCells count="2">
    <mergeCell ref="A6:D6"/>
    <mergeCell ref="A7:E7"/>
  </mergeCells>
  <printOptions horizontalCentered="1"/>
  <pageMargins left="0.8267716535433072" right="0.4330708661417323" top="0.984251968503937" bottom="0.984251968503937" header="0.5118110236220472" footer="0.5118110236220472"/>
  <pageSetup horizontalDpi="600" verticalDpi="600" orientation="portrait" paperSize="9" scale="90" r:id="rId1"/>
  <headerFooter alignWithMargins="0">
    <oddFooter>&amp;R&amp;9札幌国税局　
消費税
（H25）</oddFooter>
  </headerFooter>
</worksheet>
</file>

<file path=xl/worksheets/sheet4.xml><?xml version="1.0" encoding="utf-8"?>
<worksheet xmlns="http://schemas.openxmlformats.org/spreadsheetml/2006/main" xmlns:r="http://schemas.openxmlformats.org/officeDocument/2006/relationships">
  <dimension ref="A1:N53"/>
  <sheetViews>
    <sheetView view="pageBreakPreview" zoomScaleSheetLayoutView="100" zoomScalePageLayoutView="0" workbookViewId="0" topLeftCell="A1">
      <selection activeCell="A1" sqref="A1"/>
    </sheetView>
  </sheetViews>
  <sheetFormatPr defaultColWidth="9.140625" defaultRowHeight="15"/>
  <cols>
    <col min="1" max="1" width="12.28125" style="3" customWidth="1"/>
    <col min="2" max="2" width="8.57421875" style="3" customWidth="1"/>
    <col min="3" max="3" width="11.57421875" style="3" customWidth="1"/>
    <col min="4" max="4" width="8.57421875" style="3" customWidth="1"/>
    <col min="5" max="5" width="11.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10.57421875" style="3" customWidth="1"/>
    <col min="13" max="13" width="12.57421875" style="3" customWidth="1"/>
    <col min="14" max="14" width="12.28125" style="3" customWidth="1"/>
    <col min="15" max="16384" width="9.00390625" style="3" customWidth="1"/>
  </cols>
  <sheetData>
    <row r="1" spans="1:14" ht="13.5">
      <c r="A1" s="1" t="s">
        <v>108</v>
      </c>
      <c r="B1" s="1"/>
      <c r="C1" s="1"/>
      <c r="D1" s="1"/>
      <c r="E1" s="1"/>
      <c r="F1" s="1"/>
      <c r="G1" s="1"/>
      <c r="H1" s="2"/>
      <c r="I1" s="2"/>
      <c r="J1" s="2"/>
      <c r="K1" s="2"/>
      <c r="L1" s="2"/>
      <c r="M1" s="2"/>
      <c r="N1" s="2"/>
    </row>
    <row r="2" spans="1:14" ht="14.25" thickBot="1">
      <c r="A2" s="176" t="s">
        <v>0</v>
      </c>
      <c r="B2" s="176"/>
      <c r="C2" s="176"/>
      <c r="D2" s="176"/>
      <c r="E2" s="176"/>
      <c r="F2" s="176"/>
      <c r="G2" s="176"/>
      <c r="H2" s="2"/>
      <c r="I2" s="2"/>
      <c r="J2" s="2"/>
      <c r="K2" s="2"/>
      <c r="L2" s="2"/>
      <c r="M2" s="2"/>
      <c r="N2" s="2"/>
    </row>
    <row r="3" spans="1:14" ht="19.5" customHeight="1">
      <c r="A3" s="189" t="s">
        <v>77</v>
      </c>
      <c r="B3" s="192" t="s">
        <v>82</v>
      </c>
      <c r="C3" s="192"/>
      <c r="D3" s="192"/>
      <c r="E3" s="192"/>
      <c r="F3" s="192"/>
      <c r="G3" s="192"/>
      <c r="H3" s="188" t="s">
        <v>1</v>
      </c>
      <c r="I3" s="186"/>
      <c r="J3" s="185" t="s">
        <v>2</v>
      </c>
      <c r="K3" s="186"/>
      <c r="L3" s="188" t="s">
        <v>3</v>
      </c>
      <c r="M3" s="186"/>
      <c r="N3" s="177" t="s">
        <v>4</v>
      </c>
    </row>
    <row r="4" spans="1:14" ht="17.25" customHeight="1">
      <c r="A4" s="190"/>
      <c r="B4" s="180" t="s">
        <v>78</v>
      </c>
      <c r="C4" s="180"/>
      <c r="D4" s="181" t="s">
        <v>5</v>
      </c>
      <c r="E4" s="182"/>
      <c r="F4" s="183" t="s">
        <v>6</v>
      </c>
      <c r="G4" s="184"/>
      <c r="H4" s="183"/>
      <c r="I4" s="187"/>
      <c r="J4" s="183"/>
      <c r="K4" s="187"/>
      <c r="L4" s="183"/>
      <c r="M4" s="187"/>
      <c r="N4" s="178"/>
    </row>
    <row r="5" spans="1:14" s="4" customFormat="1" ht="28.5" customHeight="1">
      <c r="A5" s="191"/>
      <c r="B5" s="86" t="s">
        <v>79</v>
      </c>
      <c r="C5" s="26" t="s">
        <v>80</v>
      </c>
      <c r="D5" s="86" t="s">
        <v>109</v>
      </c>
      <c r="E5" s="26" t="s">
        <v>110</v>
      </c>
      <c r="F5" s="86" t="s">
        <v>79</v>
      </c>
      <c r="G5" s="26" t="s">
        <v>81</v>
      </c>
      <c r="H5" s="86" t="s">
        <v>79</v>
      </c>
      <c r="I5" s="27" t="s">
        <v>83</v>
      </c>
      <c r="J5" s="86" t="s">
        <v>79</v>
      </c>
      <c r="K5" s="27" t="s">
        <v>84</v>
      </c>
      <c r="L5" s="25" t="s">
        <v>79</v>
      </c>
      <c r="M5" s="28" t="s">
        <v>85</v>
      </c>
      <c r="N5" s="179"/>
    </row>
    <row r="6" spans="1:14" s="10" customFormat="1" ht="10.5">
      <c r="A6" s="5"/>
      <c r="B6" s="6" t="s">
        <v>7</v>
      </c>
      <c r="C6" s="7" t="s">
        <v>8</v>
      </c>
      <c r="D6" s="6" t="s">
        <v>7</v>
      </c>
      <c r="E6" s="7" t="s">
        <v>8</v>
      </c>
      <c r="F6" s="6" t="s">
        <v>7</v>
      </c>
      <c r="G6" s="7" t="s">
        <v>8</v>
      </c>
      <c r="H6" s="6" t="s">
        <v>7</v>
      </c>
      <c r="I6" s="8" t="s">
        <v>8</v>
      </c>
      <c r="J6" s="6" t="s">
        <v>7</v>
      </c>
      <c r="K6" s="8" t="s">
        <v>8</v>
      </c>
      <c r="L6" s="6" t="s">
        <v>7</v>
      </c>
      <c r="M6" s="8" t="s">
        <v>8</v>
      </c>
      <c r="N6" s="9"/>
    </row>
    <row r="7" spans="1:14" ht="18.75" customHeight="1">
      <c r="A7" s="11" t="s">
        <v>9</v>
      </c>
      <c r="B7" s="125">
        <f>_xlfn.COMPOUNDVALUE(1)</f>
        <v>341</v>
      </c>
      <c r="C7" s="126">
        <v>146214</v>
      </c>
      <c r="D7" s="125">
        <f>_xlfn.COMPOUNDVALUE(2)</f>
        <v>372</v>
      </c>
      <c r="E7" s="126">
        <v>122559</v>
      </c>
      <c r="F7" s="125">
        <f>_xlfn.COMPOUNDVALUE(3)</f>
        <v>713</v>
      </c>
      <c r="G7" s="126">
        <v>268774</v>
      </c>
      <c r="H7" s="125">
        <f>_xlfn.COMPOUNDVALUE(4)</f>
        <v>14</v>
      </c>
      <c r="I7" s="127">
        <v>2605</v>
      </c>
      <c r="J7" s="125">
        <v>82</v>
      </c>
      <c r="K7" s="127">
        <v>10882</v>
      </c>
      <c r="L7" s="125">
        <f>_xlfn.COMPOUNDVALUE(4)</f>
        <v>763</v>
      </c>
      <c r="M7" s="127">
        <v>277051</v>
      </c>
      <c r="N7" s="12" t="s">
        <v>9</v>
      </c>
    </row>
    <row r="8" spans="1:14" ht="18.75" customHeight="1">
      <c r="A8" s="11" t="s">
        <v>10</v>
      </c>
      <c r="B8" s="125">
        <f>_xlfn.COMPOUNDVALUE(5)</f>
        <v>979</v>
      </c>
      <c r="C8" s="126">
        <v>410599</v>
      </c>
      <c r="D8" s="125">
        <f>_xlfn.COMPOUNDVALUE(6)</f>
        <v>1821</v>
      </c>
      <c r="E8" s="126">
        <v>447737</v>
      </c>
      <c r="F8" s="125">
        <f>_xlfn.COMPOUNDVALUE(7)</f>
        <v>2800</v>
      </c>
      <c r="G8" s="126">
        <v>858336</v>
      </c>
      <c r="H8" s="125">
        <f>_xlfn.COMPOUNDVALUE(8)</f>
        <v>104</v>
      </c>
      <c r="I8" s="127">
        <v>28620</v>
      </c>
      <c r="J8" s="125">
        <v>208</v>
      </c>
      <c r="K8" s="127">
        <v>27570</v>
      </c>
      <c r="L8" s="125">
        <f>_xlfn.COMPOUNDVALUE(8)</f>
        <v>2996</v>
      </c>
      <c r="M8" s="127">
        <v>857286</v>
      </c>
      <c r="N8" s="12" t="s">
        <v>10</v>
      </c>
    </row>
    <row r="9" spans="1:14" ht="18.75" customHeight="1">
      <c r="A9" s="11" t="s">
        <v>11</v>
      </c>
      <c r="B9" s="125">
        <f>_xlfn.COMPOUNDVALUE(9)</f>
        <v>959</v>
      </c>
      <c r="C9" s="126">
        <v>392488</v>
      </c>
      <c r="D9" s="125">
        <f>_xlfn.COMPOUNDVALUE(10)</f>
        <v>1569</v>
      </c>
      <c r="E9" s="126">
        <v>431471</v>
      </c>
      <c r="F9" s="125">
        <f>_xlfn.COMPOUNDVALUE(11)</f>
        <v>2528</v>
      </c>
      <c r="G9" s="126">
        <v>823959</v>
      </c>
      <c r="H9" s="125">
        <f>_xlfn.COMPOUNDVALUE(12)</f>
        <v>66</v>
      </c>
      <c r="I9" s="127">
        <v>27862</v>
      </c>
      <c r="J9" s="125">
        <v>311</v>
      </c>
      <c r="K9" s="127">
        <v>45494</v>
      </c>
      <c r="L9" s="125">
        <f>_xlfn.COMPOUNDVALUE(12)</f>
        <v>2753</v>
      </c>
      <c r="M9" s="127">
        <v>841591</v>
      </c>
      <c r="N9" s="12" t="s">
        <v>11</v>
      </c>
    </row>
    <row r="10" spans="1:14" ht="18.75" customHeight="1">
      <c r="A10" s="11" t="s">
        <v>12</v>
      </c>
      <c r="B10" s="125">
        <f>_xlfn.COMPOUNDVALUE(13)</f>
        <v>1019</v>
      </c>
      <c r="C10" s="126">
        <v>441523</v>
      </c>
      <c r="D10" s="125">
        <f>_xlfn.COMPOUNDVALUE(14)</f>
        <v>1291</v>
      </c>
      <c r="E10" s="126">
        <v>409311</v>
      </c>
      <c r="F10" s="125">
        <f>_xlfn.COMPOUNDVALUE(15)</f>
        <v>2310</v>
      </c>
      <c r="G10" s="126">
        <v>850834</v>
      </c>
      <c r="H10" s="125">
        <f>_xlfn.COMPOUNDVALUE(16)</f>
        <v>70</v>
      </c>
      <c r="I10" s="127">
        <v>49233</v>
      </c>
      <c r="J10" s="125">
        <v>241</v>
      </c>
      <c r="K10" s="127">
        <v>34352</v>
      </c>
      <c r="L10" s="125">
        <f>_xlfn.COMPOUNDVALUE(16)</f>
        <v>2465</v>
      </c>
      <c r="M10" s="127">
        <v>835954</v>
      </c>
      <c r="N10" s="12" t="s">
        <v>12</v>
      </c>
    </row>
    <row r="11" spans="1:14" ht="18.75" customHeight="1">
      <c r="A11" s="11" t="s">
        <v>13</v>
      </c>
      <c r="B11" s="125">
        <f>_xlfn.COMPOUNDVALUE(17)</f>
        <v>596</v>
      </c>
      <c r="C11" s="126">
        <v>207367</v>
      </c>
      <c r="D11" s="125">
        <f>_xlfn.COMPOUNDVALUE(18)</f>
        <v>976</v>
      </c>
      <c r="E11" s="126">
        <v>265952</v>
      </c>
      <c r="F11" s="125">
        <f>_xlfn.COMPOUNDVALUE(19)</f>
        <v>1572</v>
      </c>
      <c r="G11" s="126">
        <v>473319</v>
      </c>
      <c r="H11" s="125">
        <f>_xlfn.COMPOUNDVALUE(20)</f>
        <v>46</v>
      </c>
      <c r="I11" s="127">
        <v>28406</v>
      </c>
      <c r="J11" s="125">
        <v>150</v>
      </c>
      <c r="K11" s="127">
        <v>15458</v>
      </c>
      <c r="L11" s="125">
        <f>_xlfn.COMPOUNDVALUE(20)</f>
        <v>1679</v>
      </c>
      <c r="M11" s="127">
        <v>460371</v>
      </c>
      <c r="N11" s="12" t="s">
        <v>13</v>
      </c>
    </row>
    <row r="12" spans="1:14" ht="18.75" customHeight="1">
      <c r="A12" s="11" t="s">
        <v>86</v>
      </c>
      <c r="B12" s="125">
        <f>_xlfn.COMPOUNDVALUE(21)</f>
        <v>967</v>
      </c>
      <c r="C12" s="126">
        <v>335654</v>
      </c>
      <c r="D12" s="125">
        <f>_xlfn.COMPOUNDVALUE(22)</f>
        <v>2533</v>
      </c>
      <c r="E12" s="126">
        <v>622598</v>
      </c>
      <c r="F12" s="125">
        <f>_xlfn.COMPOUNDVALUE(23)</f>
        <v>3500</v>
      </c>
      <c r="G12" s="126">
        <v>958252</v>
      </c>
      <c r="H12" s="125">
        <f>_xlfn.COMPOUNDVALUE(24)</f>
        <v>39</v>
      </c>
      <c r="I12" s="127">
        <v>15062</v>
      </c>
      <c r="J12" s="125">
        <v>197</v>
      </c>
      <c r="K12" s="127">
        <v>14960</v>
      </c>
      <c r="L12" s="125">
        <f>_xlfn.COMPOUNDVALUE(24)</f>
        <v>3618</v>
      </c>
      <c r="M12" s="127">
        <v>958150</v>
      </c>
      <c r="N12" s="12" t="s">
        <v>86</v>
      </c>
    </row>
    <row r="13" spans="1:14" ht="18.75" customHeight="1">
      <c r="A13" s="11" t="s">
        <v>14</v>
      </c>
      <c r="B13" s="125">
        <f>_xlfn.COMPOUNDVALUE(25)</f>
        <v>258</v>
      </c>
      <c r="C13" s="126">
        <v>64144</v>
      </c>
      <c r="D13" s="125">
        <f>_xlfn.COMPOUNDVALUE(26)</f>
        <v>384</v>
      </c>
      <c r="E13" s="126">
        <v>90248</v>
      </c>
      <c r="F13" s="125">
        <f>_xlfn.COMPOUNDVALUE(27)</f>
        <v>642</v>
      </c>
      <c r="G13" s="126">
        <v>154393</v>
      </c>
      <c r="H13" s="125">
        <f>_xlfn.COMPOUNDVALUE(28)</f>
        <v>17</v>
      </c>
      <c r="I13" s="127">
        <v>6364</v>
      </c>
      <c r="J13" s="125">
        <v>62</v>
      </c>
      <c r="K13" s="127">
        <v>6707</v>
      </c>
      <c r="L13" s="125">
        <f>_xlfn.COMPOUNDVALUE(28)</f>
        <v>686</v>
      </c>
      <c r="M13" s="127">
        <v>154735</v>
      </c>
      <c r="N13" s="12" t="s">
        <v>14</v>
      </c>
    </row>
    <row r="14" spans="1:14" ht="18.75" customHeight="1">
      <c r="A14" s="11" t="s">
        <v>15</v>
      </c>
      <c r="B14" s="125">
        <f>_xlfn.COMPOUNDVALUE(29)</f>
        <v>305</v>
      </c>
      <c r="C14" s="126">
        <v>104550</v>
      </c>
      <c r="D14" s="125">
        <f>_xlfn.COMPOUNDVALUE(30)</f>
        <v>652</v>
      </c>
      <c r="E14" s="126">
        <v>168145</v>
      </c>
      <c r="F14" s="125">
        <f>_xlfn.COMPOUNDVALUE(31)</f>
        <v>957</v>
      </c>
      <c r="G14" s="126">
        <v>272695</v>
      </c>
      <c r="H14" s="125">
        <f>_xlfn.COMPOUNDVALUE(32)</f>
        <v>11</v>
      </c>
      <c r="I14" s="127">
        <v>10940</v>
      </c>
      <c r="J14" s="125">
        <v>82</v>
      </c>
      <c r="K14" s="127">
        <v>6477</v>
      </c>
      <c r="L14" s="125">
        <f>_xlfn.COMPOUNDVALUE(32)</f>
        <v>998</v>
      </c>
      <c r="M14" s="127">
        <v>268233</v>
      </c>
      <c r="N14" s="12" t="s">
        <v>15</v>
      </c>
    </row>
    <row r="15" spans="1:14" ht="18.75" customHeight="1">
      <c r="A15" s="11" t="s">
        <v>16</v>
      </c>
      <c r="B15" s="125">
        <f>_xlfn.COMPOUNDVALUE(33)</f>
        <v>664</v>
      </c>
      <c r="C15" s="126">
        <v>223628</v>
      </c>
      <c r="D15" s="125">
        <f>_xlfn.COMPOUNDVALUE(34)</f>
        <v>1520</v>
      </c>
      <c r="E15" s="126">
        <v>375938</v>
      </c>
      <c r="F15" s="125">
        <f>_xlfn.COMPOUNDVALUE(35)</f>
        <v>2184</v>
      </c>
      <c r="G15" s="126">
        <v>599566</v>
      </c>
      <c r="H15" s="125">
        <f>_xlfn.COMPOUNDVALUE(36)</f>
        <v>65</v>
      </c>
      <c r="I15" s="127">
        <v>18629</v>
      </c>
      <c r="J15" s="125">
        <v>117</v>
      </c>
      <c r="K15" s="127">
        <v>12311</v>
      </c>
      <c r="L15" s="125">
        <f>_xlfn.COMPOUNDVALUE(36)</f>
        <v>2283</v>
      </c>
      <c r="M15" s="127">
        <v>593248</v>
      </c>
      <c r="N15" s="12" t="s">
        <v>16</v>
      </c>
    </row>
    <row r="16" spans="1:14" ht="18.75" customHeight="1">
      <c r="A16" s="11" t="s">
        <v>17</v>
      </c>
      <c r="B16" s="125">
        <f>_xlfn.COMPOUNDVALUE(37)</f>
        <v>356</v>
      </c>
      <c r="C16" s="126">
        <v>117668</v>
      </c>
      <c r="D16" s="125">
        <f>_xlfn.COMPOUNDVALUE(38)</f>
        <v>980</v>
      </c>
      <c r="E16" s="126">
        <v>243508</v>
      </c>
      <c r="F16" s="125">
        <f>_xlfn.COMPOUNDVALUE(39)</f>
        <v>1336</v>
      </c>
      <c r="G16" s="126">
        <v>361176</v>
      </c>
      <c r="H16" s="125">
        <f>_xlfn.COMPOUNDVALUE(40)</f>
        <v>20</v>
      </c>
      <c r="I16" s="127">
        <v>11778</v>
      </c>
      <c r="J16" s="125">
        <v>75</v>
      </c>
      <c r="K16" s="127">
        <v>10247</v>
      </c>
      <c r="L16" s="125">
        <f>_xlfn.COMPOUNDVALUE(40)</f>
        <v>1389</v>
      </c>
      <c r="M16" s="127">
        <v>359645</v>
      </c>
      <c r="N16" s="12" t="s">
        <v>17</v>
      </c>
    </row>
    <row r="17" spans="1:14" ht="18.75" customHeight="1">
      <c r="A17" s="11" t="s">
        <v>18</v>
      </c>
      <c r="B17" s="125">
        <f>_xlfn.COMPOUNDVALUE(41)</f>
        <v>1103</v>
      </c>
      <c r="C17" s="126">
        <v>461912</v>
      </c>
      <c r="D17" s="125">
        <f>_xlfn.COMPOUNDVALUE(42)</f>
        <v>1292</v>
      </c>
      <c r="E17" s="126">
        <v>342262</v>
      </c>
      <c r="F17" s="125">
        <f>_xlfn.COMPOUNDVALUE(43)</f>
        <v>2395</v>
      </c>
      <c r="G17" s="126">
        <v>804174</v>
      </c>
      <c r="H17" s="125">
        <f>_xlfn.COMPOUNDVALUE(44)</f>
        <v>85</v>
      </c>
      <c r="I17" s="127">
        <v>35824</v>
      </c>
      <c r="J17" s="125">
        <v>134</v>
      </c>
      <c r="K17" s="127">
        <v>14663</v>
      </c>
      <c r="L17" s="125">
        <f>_xlfn.COMPOUNDVALUE(44)</f>
        <v>2532</v>
      </c>
      <c r="M17" s="127">
        <v>783013</v>
      </c>
      <c r="N17" s="12" t="s">
        <v>18</v>
      </c>
    </row>
    <row r="18" spans="1:14" ht="18.75" customHeight="1">
      <c r="A18" s="11" t="s">
        <v>19</v>
      </c>
      <c r="B18" s="125">
        <f>_xlfn.COMPOUNDVALUE(45)</f>
        <v>2494</v>
      </c>
      <c r="C18" s="126">
        <v>979787</v>
      </c>
      <c r="D18" s="125">
        <f>_xlfn.COMPOUNDVALUE(46)</f>
        <v>2395</v>
      </c>
      <c r="E18" s="126">
        <v>709274</v>
      </c>
      <c r="F18" s="125">
        <f>_xlfn.COMPOUNDVALUE(47)</f>
        <v>4889</v>
      </c>
      <c r="G18" s="126">
        <v>1689061</v>
      </c>
      <c r="H18" s="125">
        <f>_xlfn.COMPOUNDVALUE(48)</f>
        <v>676</v>
      </c>
      <c r="I18" s="127">
        <v>271948</v>
      </c>
      <c r="J18" s="125">
        <v>291</v>
      </c>
      <c r="K18" s="127">
        <v>23937</v>
      </c>
      <c r="L18" s="125">
        <f>_xlfn.COMPOUNDVALUE(48)</f>
        <v>5627</v>
      </c>
      <c r="M18" s="127">
        <v>1441049</v>
      </c>
      <c r="N18" s="12" t="s">
        <v>19</v>
      </c>
    </row>
    <row r="19" spans="1:14" ht="18.75" customHeight="1">
      <c r="A19" s="11" t="s">
        <v>20</v>
      </c>
      <c r="B19" s="125">
        <f>_xlfn.COMPOUNDVALUE(49)</f>
        <v>836</v>
      </c>
      <c r="C19" s="126">
        <v>536845</v>
      </c>
      <c r="D19" s="125">
        <f>_xlfn.COMPOUNDVALUE(50)</f>
        <v>1330</v>
      </c>
      <c r="E19" s="126">
        <v>337195</v>
      </c>
      <c r="F19" s="125">
        <f>_xlfn.COMPOUNDVALUE(51)</f>
        <v>2166</v>
      </c>
      <c r="G19" s="126">
        <v>874039</v>
      </c>
      <c r="H19" s="125">
        <f>_xlfn.COMPOUNDVALUE(52)</f>
        <v>132</v>
      </c>
      <c r="I19" s="127">
        <v>50546</v>
      </c>
      <c r="J19" s="125">
        <v>103</v>
      </c>
      <c r="K19" s="127">
        <v>8231</v>
      </c>
      <c r="L19" s="125">
        <f>_xlfn.COMPOUNDVALUE(52)</f>
        <v>2330</v>
      </c>
      <c r="M19" s="127">
        <v>831724</v>
      </c>
      <c r="N19" s="12" t="s">
        <v>20</v>
      </c>
    </row>
    <row r="20" spans="1:14" ht="18.75" customHeight="1">
      <c r="A20" s="11" t="s">
        <v>21</v>
      </c>
      <c r="B20" s="125">
        <f>_xlfn.COMPOUNDVALUE(53)</f>
        <v>375</v>
      </c>
      <c r="C20" s="126">
        <v>101629</v>
      </c>
      <c r="D20" s="125">
        <f>_xlfn.COMPOUNDVALUE(54)</f>
        <v>2135</v>
      </c>
      <c r="E20" s="126">
        <v>480740</v>
      </c>
      <c r="F20" s="125">
        <f>_xlfn.COMPOUNDVALUE(55)</f>
        <v>2510</v>
      </c>
      <c r="G20" s="126">
        <v>582370</v>
      </c>
      <c r="H20" s="125">
        <f>_xlfn.COMPOUNDVALUE(56)</f>
        <v>117</v>
      </c>
      <c r="I20" s="127">
        <v>31647</v>
      </c>
      <c r="J20" s="125">
        <v>103</v>
      </c>
      <c r="K20" s="127">
        <v>1846</v>
      </c>
      <c r="L20" s="125">
        <f>_xlfn.COMPOUNDVALUE(56)</f>
        <v>2634</v>
      </c>
      <c r="M20" s="127">
        <v>552568</v>
      </c>
      <c r="N20" s="12" t="s">
        <v>21</v>
      </c>
    </row>
    <row r="21" spans="1:14" ht="18.75" customHeight="1">
      <c r="A21" s="11" t="s">
        <v>22</v>
      </c>
      <c r="B21" s="125">
        <f>_xlfn.COMPOUNDVALUE(57)</f>
        <v>794</v>
      </c>
      <c r="C21" s="126">
        <v>399553</v>
      </c>
      <c r="D21" s="125">
        <f>_xlfn.COMPOUNDVALUE(58)</f>
        <v>1174</v>
      </c>
      <c r="E21" s="126">
        <v>306685</v>
      </c>
      <c r="F21" s="125">
        <f>_xlfn.COMPOUNDVALUE(59)</f>
        <v>1968</v>
      </c>
      <c r="G21" s="126">
        <v>706239</v>
      </c>
      <c r="H21" s="125">
        <f>_xlfn.COMPOUNDVALUE(60)</f>
        <v>636</v>
      </c>
      <c r="I21" s="127">
        <v>177007</v>
      </c>
      <c r="J21" s="125">
        <v>77</v>
      </c>
      <c r="K21" s="127">
        <v>13370</v>
      </c>
      <c r="L21" s="125">
        <f>_xlfn.COMPOUNDVALUE(60)</f>
        <v>2643</v>
      </c>
      <c r="M21" s="127">
        <v>542602</v>
      </c>
      <c r="N21" s="12" t="s">
        <v>22</v>
      </c>
    </row>
    <row r="22" spans="1:14" ht="18.75" customHeight="1">
      <c r="A22" s="11" t="s">
        <v>23</v>
      </c>
      <c r="B22" s="125">
        <f>_xlfn.COMPOUNDVALUE(61)</f>
        <v>149</v>
      </c>
      <c r="C22" s="126">
        <v>65738</v>
      </c>
      <c r="D22" s="125">
        <f>_xlfn.COMPOUNDVALUE(62)</f>
        <v>509</v>
      </c>
      <c r="E22" s="126">
        <v>123057</v>
      </c>
      <c r="F22" s="125">
        <f>_xlfn.COMPOUNDVALUE(63)</f>
        <v>658</v>
      </c>
      <c r="G22" s="126">
        <v>188795</v>
      </c>
      <c r="H22" s="125">
        <f>_xlfn.COMPOUNDVALUE(64)</f>
        <v>18</v>
      </c>
      <c r="I22" s="127">
        <v>6572</v>
      </c>
      <c r="J22" s="125">
        <v>35</v>
      </c>
      <c r="K22" s="127">
        <v>5125</v>
      </c>
      <c r="L22" s="125">
        <f>_xlfn.COMPOUNDVALUE(64)</f>
        <v>680</v>
      </c>
      <c r="M22" s="127">
        <v>187349</v>
      </c>
      <c r="N22" s="12" t="s">
        <v>23</v>
      </c>
    </row>
    <row r="23" spans="1:14" ht="18.75" customHeight="1">
      <c r="A23" s="11" t="s">
        <v>24</v>
      </c>
      <c r="B23" s="125">
        <f>_xlfn.COMPOUNDVALUE(65)</f>
        <v>573</v>
      </c>
      <c r="C23" s="126">
        <v>261725</v>
      </c>
      <c r="D23" s="125">
        <f>_xlfn.COMPOUNDVALUE(66)</f>
        <v>1404</v>
      </c>
      <c r="E23" s="126">
        <v>369697</v>
      </c>
      <c r="F23" s="125">
        <f>_xlfn.COMPOUNDVALUE(67)</f>
        <v>1977</v>
      </c>
      <c r="G23" s="126">
        <v>631422</v>
      </c>
      <c r="H23" s="125">
        <f>_xlfn.COMPOUNDVALUE(68)</f>
        <v>57</v>
      </c>
      <c r="I23" s="127">
        <v>17115</v>
      </c>
      <c r="J23" s="125">
        <v>84</v>
      </c>
      <c r="K23" s="127">
        <v>15571</v>
      </c>
      <c r="L23" s="125">
        <f>_xlfn.COMPOUNDVALUE(68)</f>
        <v>2073</v>
      </c>
      <c r="M23" s="127">
        <v>629878</v>
      </c>
      <c r="N23" s="12" t="s">
        <v>24</v>
      </c>
    </row>
    <row r="24" spans="1:14" ht="18.75" customHeight="1">
      <c r="A24" s="13" t="s">
        <v>25</v>
      </c>
      <c r="B24" s="128">
        <f>_xlfn.COMPOUNDVALUE(69)</f>
        <v>617</v>
      </c>
      <c r="C24" s="129">
        <v>352983</v>
      </c>
      <c r="D24" s="128">
        <f>_xlfn.COMPOUNDVALUE(70)</f>
        <v>1612</v>
      </c>
      <c r="E24" s="129">
        <v>604568</v>
      </c>
      <c r="F24" s="128">
        <f>_xlfn.COMPOUNDVALUE(71)</f>
        <v>2229</v>
      </c>
      <c r="G24" s="129">
        <v>957552</v>
      </c>
      <c r="H24" s="128">
        <f>_xlfn.COMPOUNDVALUE(72)</f>
        <v>62</v>
      </c>
      <c r="I24" s="130">
        <v>31613</v>
      </c>
      <c r="J24" s="128">
        <v>141</v>
      </c>
      <c r="K24" s="130">
        <v>8969</v>
      </c>
      <c r="L24" s="128">
        <f>_xlfn.COMPOUNDVALUE(72)</f>
        <v>2308</v>
      </c>
      <c r="M24" s="130">
        <v>934908</v>
      </c>
      <c r="N24" s="14" t="s">
        <v>25</v>
      </c>
    </row>
    <row r="25" spans="1:14" ht="18.75" customHeight="1">
      <c r="A25" s="13" t="s">
        <v>26</v>
      </c>
      <c r="B25" s="128">
        <f>_xlfn.COMPOUNDVALUE(73)</f>
        <v>694</v>
      </c>
      <c r="C25" s="129">
        <v>542987</v>
      </c>
      <c r="D25" s="128">
        <f>_xlfn.COMPOUNDVALUE(74)</f>
        <v>908</v>
      </c>
      <c r="E25" s="129">
        <v>352305</v>
      </c>
      <c r="F25" s="128">
        <f>_xlfn.COMPOUNDVALUE(75)</f>
        <v>1602</v>
      </c>
      <c r="G25" s="129">
        <v>895292</v>
      </c>
      <c r="H25" s="128">
        <f>_xlfn.COMPOUNDVALUE(76)</f>
        <v>81</v>
      </c>
      <c r="I25" s="130">
        <v>36169</v>
      </c>
      <c r="J25" s="128">
        <v>85</v>
      </c>
      <c r="K25" s="130">
        <v>7209</v>
      </c>
      <c r="L25" s="128">
        <f>_xlfn.COMPOUNDVALUE(76)</f>
        <v>1712</v>
      </c>
      <c r="M25" s="130">
        <v>866331</v>
      </c>
      <c r="N25" s="14" t="s">
        <v>26</v>
      </c>
    </row>
    <row r="26" spans="1:14" ht="18.75" customHeight="1">
      <c r="A26" s="13" t="s">
        <v>27</v>
      </c>
      <c r="B26" s="128">
        <f>_xlfn.COMPOUNDVALUE(77)</f>
        <v>354</v>
      </c>
      <c r="C26" s="129">
        <v>101762</v>
      </c>
      <c r="D26" s="128">
        <f>_xlfn.COMPOUNDVALUE(78)</f>
        <v>792</v>
      </c>
      <c r="E26" s="129">
        <v>164042</v>
      </c>
      <c r="F26" s="128">
        <f>_xlfn.COMPOUNDVALUE(79)</f>
        <v>1146</v>
      </c>
      <c r="G26" s="129">
        <v>265804</v>
      </c>
      <c r="H26" s="128">
        <f>_xlfn.COMPOUNDVALUE(80)</f>
        <v>134</v>
      </c>
      <c r="I26" s="130">
        <v>36592</v>
      </c>
      <c r="J26" s="128">
        <v>29</v>
      </c>
      <c r="K26" s="130">
        <v>742</v>
      </c>
      <c r="L26" s="128">
        <f>_xlfn.COMPOUNDVALUE(80)</f>
        <v>1287</v>
      </c>
      <c r="M26" s="130">
        <v>229954</v>
      </c>
      <c r="N26" s="14" t="s">
        <v>27</v>
      </c>
    </row>
    <row r="27" spans="1:14" ht="18.75" customHeight="1">
      <c r="A27" s="13" t="s">
        <v>28</v>
      </c>
      <c r="B27" s="128">
        <f>_xlfn.COMPOUNDVALUE(81)</f>
        <v>975</v>
      </c>
      <c r="C27" s="129">
        <v>467180</v>
      </c>
      <c r="D27" s="128">
        <f>_xlfn.COMPOUNDVALUE(82)</f>
        <v>1567</v>
      </c>
      <c r="E27" s="129">
        <v>459629</v>
      </c>
      <c r="F27" s="128">
        <f>_xlfn.COMPOUNDVALUE(83)</f>
        <v>2542</v>
      </c>
      <c r="G27" s="129">
        <v>926808</v>
      </c>
      <c r="H27" s="128">
        <f>_xlfn.COMPOUNDVALUE(84)</f>
        <v>101</v>
      </c>
      <c r="I27" s="130">
        <v>61333</v>
      </c>
      <c r="J27" s="128">
        <v>95</v>
      </c>
      <c r="K27" s="130">
        <v>3839</v>
      </c>
      <c r="L27" s="128">
        <f>_xlfn.COMPOUNDVALUE(84)</f>
        <v>2673</v>
      </c>
      <c r="M27" s="130">
        <v>869315</v>
      </c>
      <c r="N27" s="14" t="s">
        <v>28</v>
      </c>
    </row>
    <row r="28" spans="1:14" ht="18.75" customHeight="1">
      <c r="A28" s="13" t="s">
        <v>29</v>
      </c>
      <c r="B28" s="128">
        <f>_xlfn.COMPOUNDVALUE(85)</f>
        <v>149</v>
      </c>
      <c r="C28" s="129">
        <v>47275</v>
      </c>
      <c r="D28" s="128">
        <f>_xlfn.COMPOUNDVALUE(86)</f>
        <v>792</v>
      </c>
      <c r="E28" s="129">
        <v>174467</v>
      </c>
      <c r="F28" s="128">
        <f>_xlfn.COMPOUNDVALUE(87)</f>
        <v>941</v>
      </c>
      <c r="G28" s="129">
        <v>221742</v>
      </c>
      <c r="H28" s="128">
        <f>_xlfn.COMPOUNDVALUE(88)</f>
        <v>8</v>
      </c>
      <c r="I28" s="130">
        <v>3333</v>
      </c>
      <c r="J28" s="128">
        <v>44</v>
      </c>
      <c r="K28" s="130">
        <v>2691</v>
      </c>
      <c r="L28" s="128">
        <f>_xlfn.COMPOUNDVALUE(88)</f>
        <v>960</v>
      </c>
      <c r="M28" s="130">
        <v>221100</v>
      </c>
      <c r="N28" s="14" t="s">
        <v>29</v>
      </c>
    </row>
    <row r="29" spans="1:14" ht="18.75" customHeight="1">
      <c r="A29" s="13" t="s">
        <v>30</v>
      </c>
      <c r="B29" s="128">
        <f>_xlfn.COMPOUNDVALUE(89)</f>
        <v>114</v>
      </c>
      <c r="C29" s="129">
        <v>35703</v>
      </c>
      <c r="D29" s="128">
        <f>_xlfn.COMPOUNDVALUE(90)</f>
        <v>1180</v>
      </c>
      <c r="E29" s="129">
        <v>270887</v>
      </c>
      <c r="F29" s="128">
        <f>_xlfn.COMPOUNDVALUE(91)</f>
        <v>1294</v>
      </c>
      <c r="G29" s="129">
        <v>306590</v>
      </c>
      <c r="H29" s="128">
        <f>_xlfn.COMPOUNDVALUE(92)</f>
        <v>24</v>
      </c>
      <c r="I29" s="130">
        <v>12176</v>
      </c>
      <c r="J29" s="128">
        <v>38</v>
      </c>
      <c r="K29" s="130">
        <v>2005</v>
      </c>
      <c r="L29" s="128">
        <f>_xlfn.COMPOUNDVALUE(92)</f>
        <v>1319</v>
      </c>
      <c r="M29" s="130">
        <v>296418</v>
      </c>
      <c r="N29" s="14" t="s">
        <v>30</v>
      </c>
    </row>
    <row r="30" spans="1:14" ht="18.75" customHeight="1">
      <c r="A30" s="13" t="s">
        <v>31</v>
      </c>
      <c r="B30" s="128">
        <f>_xlfn.COMPOUNDVALUE(93)</f>
        <v>141</v>
      </c>
      <c r="C30" s="129">
        <v>47500</v>
      </c>
      <c r="D30" s="128">
        <f>_xlfn.COMPOUNDVALUE(94)</f>
        <v>770</v>
      </c>
      <c r="E30" s="129">
        <v>181572</v>
      </c>
      <c r="F30" s="128">
        <f>_xlfn.COMPOUNDVALUE(95)</f>
        <v>911</v>
      </c>
      <c r="G30" s="129">
        <v>229072</v>
      </c>
      <c r="H30" s="128">
        <f>_xlfn.COMPOUNDVALUE(96)</f>
        <v>42</v>
      </c>
      <c r="I30" s="130">
        <v>13961</v>
      </c>
      <c r="J30" s="128">
        <v>37</v>
      </c>
      <c r="K30" s="130">
        <v>436</v>
      </c>
      <c r="L30" s="128">
        <f>_xlfn.COMPOUNDVALUE(96)</f>
        <v>964</v>
      </c>
      <c r="M30" s="130">
        <v>215546</v>
      </c>
      <c r="N30" s="14" t="s">
        <v>31</v>
      </c>
    </row>
    <row r="31" spans="1:14" ht="18.75" customHeight="1">
      <c r="A31" s="13" t="s">
        <v>32</v>
      </c>
      <c r="B31" s="128">
        <f>_xlfn.COMPOUNDVALUE(97)</f>
        <v>216</v>
      </c>
      <c r="C31" s="129">
        <v>99248</v>
      </c>
      <c r="D31" s="128">
        <f>_xlfn.COMPOUNDVALUE(98)</f>
        <v>1190</v>
      </c>
      <c r="E31" s="129">
        <v>341654</v>
      </c>
      <c r="F31" s="128">
        <f>_xlfn.COMPOUNDVALUE(99)</f>
        <v>1406</v>
      </c>
      <c r="G31" s="129">
        <v>440902</v>
      </c>
      <c r="H31" s="128">
        <f>_xlfn.COMPOUNDVALUE(100)</f>
        <v>21</v>
      </c>
      <c r="I31" s="130">
        <v>6074</v>
      </c>
      <c r="J31" s="128">
        <v>44</v>
      </c>
      <c r="K31" s="130">
        <v>3311</v>
      </c>
      <c r="L31" s="128">
        <f>_xlfn.COMPOUNDVALUE(100)</f>
        <v>1439</v>
      </c>
      <c r="M31" s="130">
        <v>438140</v>
      </c>
      <c r="N31" s="14" t="s">
        <v>32</v>
      </c>
    </row>
    <row r="32" spans="1:14" ht="18.75" customHeight="1">
      <c r="A32" s="13" t="s">
        <v>33</v>
      </c>
      <c r="B32" s="128">
        <f>_xlfn.COMPOUNDVALUE(101)</f>
        <v>74</v>
      </c>
      <c r="C32" s="129">
        <v>22833</v>
      </c>
      <c r="D32" s="128">
        <f>_xlfn.COMPOUNDVALUE(102)</f>
        <v>250</v>
      </c>
      <c r="E32" s="129">
        <v>52141</v>
      </c>
      <c r="F32" s="128">
        <f>_xlfn.COMPOUNDVALUE(103)</f>
        <v>324</v>
      </c>
      <c r="G32" s="129">
        <v>74974</v>
      </c>
      <c r="H32" s="128">
        <f>_xlfn.COMPOUNDVALUE(104)</f>
        <v>12</v>
      </c>
      <c r="I32" s="130">
        <v>2241</v>
      </c>
      <c r="J32" s="128">
        <v>10</v>
      </c>
      <c r="K32" s="130">
        <v>5166</v>
      </c>
      <c r="L32" s="128">
        <f>_xlfn.COMPOUNDVALUE(104)</f>
        <v>340</v>
      </c>
      <c r="M32" s="130">
        <v>77898</v>
      </c>
      <c r="N32" s="14" t="s">
        <v>33</v>
      </c>
    </row>
    <row r="33" spans="1:14" ht="18.75" customHeight="1">
      <c r="A33" s="13" t="s">
        <v>34</v>
      </c>
      <c r="B33" s="128">
        <f>_xlfn.COMPOUNDVALUE(105)</f>
        <v>290</v>
      </c>
      <c r="C33" s="129">
        <v>79977</v>
      </c>
      <c r="D33" s="128">
        <f>_xlfn.COMPOUNDVALUE(106)</f>
        <v>1023</v>
      </c>
      <c r="E33" s="129">
        <v>247186</v>
      </c>
      <c r="F33" s="128">
        <f>_xlfn.COMPOUNDVALUE(107)</f>
        <v>1313</v>
      </c>
      <c r="G33" s="129">
        <v>327163</v>
      </c>
      <c r="H33" s="128">
        <f>_xlfn.COMPOUNDVALUE(108)</f>
        <v>47</v>
      </c>
      <c r="I33" s="130">
        <v>20181</v>
      </c>
      <c r="J33" s="128">
        <v>53</v>
      </c>
      <c r="K33" s="130">
        <v>3814</v>
      </c>
      <c r="L33" s="128">
        <f>_xlfn.COMPOUNDVALUE(108)</f>
        <v>1366</v>
      </c>
      <c r="M33" s="130">
        <v>310797</v>
      </c>
      <c r="N33" s="14" t="s">
        <v>34</v>
      </c>
    </row>
    <row r="34" spans="1:14" ht="18.75" customHeight="1">
      <c r="A34" s="13" t="s">
        <v>35</v>
      </c>
      <c r="B34" s="128">
        <f>_xlfn.COMPOUNDVALUE(109)</f>
        <v>88</v>
      </c>
      <c r="C34" s="129">
        <v>37680</v>
      </c>
      <c r="D34" s="128">
        <f>_xlfn.COMPOUNDVALUE(110)</f>
        <v>383</v>
      </c>
      <c r="E34" s="129">
        <v>83150</v>
      </c>
      <c r="F34" s="128">
        <f>_xlfn.COMPOUNDVALUE(111)</f>
        <v>471</v>
      </c>
      <c r="G34" s="129">
        <v>120829</v>
      </c>
      <c r="H34" s="128">
        <f>_xlfn.COMPOUNDVALUE(112)</f>
        <v>7</v>
      </c>
      <c r="I34" s="130">
        <v>2266</v>
      </c>
      <c r="J34" s="128">
        <v>18</v>
      </c>
      <c r="K34" s="130">
        <v>1750</v>
      </c>
      <c r="L34" s="128">
        <f>_xlfn.COMPOUNDVALUE(112)</f>
        <v>489</v>
      </c>
      <c r="M34" s="130">
        <v>120313</v>
      </c>
      <c r="N34" s="14" t="s">
        <v>35</v>
      </c>
    </row>
    <row r="35" spans="1:14" ht="18.75" customHeight="1">
      <c r="A35" s="13" t="s">
        <v>36</v>
      </c>
      <c r="B35" s="128">
        <f>_xlfn.COMPOUNDVALUE(113)</f>
        <v>312</v>
      </c>
      <c r="C35" s="129">
        <v>121304</v>
      </c>
      <c r="D35" s="128">
        <f>_xlfn.COMPOUNDVALUE(114)</f>
        <v>552</v>
      </c>
      <c r="E35" s="129">
        <v>127152</v>
      </c>
      <c r="F35" s="128">
        <f>_xlfn.COMPOUNDVALUE(115)</f>
        <v>864</v>
      </c>
      <c r="G35" s="129">
        <v>248456</v>
      </c>
      <c r="H35" s="128">
        <f>_xlfn.COMPOUNDVALUE(116)</f>
        <v>54</v>
      </c>
      <c r="I35" s="130">
        <v>16073</v>
      </c>
      <c r="J35" s="128">
        <v>55</v>
      </c>
      <c r="K35" s="130">
        <v>7647</v>
      </c>
      <c r="L35" s="128">
        <f>_xlfn.COMPOUNDVALUE(116)</f>
        <v>924</v>
      </c>
      <c r="M35" s="130">
        <v>240029</v>
      </c>
      <c r="N35" s="14" t="s">
        <v>36</v>
      </c>
    </row>
    <row r="36" spans="1:14" s="15" customFormat="1" ht="18.75" customHeight="1" thickBot="1">
      <c r="A36" s="87" t="s">
        <v>37</v>
      </c>
      <c r="B36" s="131">
        <f>_xlfn.COMPOUNDVALUE(117)</f>
        <v>609</v>
      </c>
      <c r="C36" s="132">
        <v>213221</v>
      </c>
      <c r="D36" s="131">
        <f>_xlfn.COMPOUNDVALUE(118)</f>
        <v>333</v>
      </c>
      <c r="E36" s="132">
        <v>86164</v>
      </c>
      <c r="F36" s="131">
        <f>_xlfn.COMPOUNDVALUE(119)</f>
        <v>942</v>
      </c>
      <c r="G36" s="132">
        <v>299385</v>
      </c>
      <c r="H36" s="131">
        <f>_xlfn.COMPOUNDVALUE(120)</f>
        <v>242</v>
      </c>
      <c r="I36" s="133">
        <v>68259</v>
      </c>
      <c r="J36" s="131">
        <v>27</v>
      </c>
      <c r="K36" s="133">
        <v>1796</v>
      </c>
      <c r="L36" s="131">
        <f>_xlfn.COMPOUNDVALUE(120)</f>
        <v>1194</v>
      </c>
      <c r="M36" s="133">
        <v>232922</v>
      </c>
      <c r="N36" s="85" t="s">
        <v>37</v>
      </c>
    </row>
    <row r="37" spans="1:14" ht="18.75" customHeight="1" thickBot="1" thickTop="1">
      <c r="A37" s="16" t="s">
        <v>44</v>
      </c>
      <c r="B37" s="134">
        <v>17401</v>
      </c>
      <c r="C37" s="135">
        <v>7420679</v>
      </c>
      <c r="D37" s="134">
        <v>33689</v>
      </c>
      <c r="E37" s="135">
        <v>8991291</v>
      </c>
      <c r="F37" s="134">
        <v>51090</v>
      </c>
      <c r="G37" s="135">
        <v>16411971</v>
      </c>
      <c r="H37" s="134">
        <v>3008</v>
      </c>
      <c r="I37" s="136">
        <v>1100427</v>
      </c>
      <c r="J37" s="134">
        <v>3028</v>
      </c>
      <c r="K37" s="136">
        <v>316576</v>
      </c>
      <c r="L37" s="134">
        <v>55124</v>
      </c>
      <c r="M37" s="136">
        <v>15628120</v>
      </c>
      <c r="N37" s="17" t="str">
        <f>IF(A37="","",A37)</f>
        <v>合　　計</v>
      </c>
    </row>
    <row r="38" spans="1:14" ht="3" customHeight="1">
      <c r="A38" s="31"/>
      <c r="B38" s="32"/>
      <c r="C38" s="32"/>
      <c r="D38" s="32"/>
      <c r="E38" s="32"/>
      <c r="F38" s="32"/>
      <c r="G38" s="32"/>
      <c r="H38" s="32"/>
      <c r="I38" s="32"/>
      <c r="J38" s="32"/>
      <c r="K38" s="32"/>
      <c r="L38" s="32"/>
      <c r="M38" s="32"/>
      <c r="N38" s="31"/>
    </row>
    <row r="39" spans="1:14" ht="13.5">
      <c r="A39" s="175" t="s">
        <v>87</v>
      </c>
      <c r="B39" s="175"/>
      <c r="C39" s="175"/>
      <c r="D39" s="175"/>
      <c r="E39" s="175"/>
      <c r="F39" s="175"/>
      <c r="G39" s="175"/>
      <c r="H39" s="175"/>
      <c r="I39" s="175"/>
      <c r="J39" s="18"/>
      <c r="K39" s="18"/>
      <c r="L39" s="2"/>
      <c r="M39" s="2"/>
      <c r="N39" s="2"/>
    </row>
    <row r="41" spans="2:10" ht="13.5">
      <c r="B41" s="19"/>
      <c r="C41" s="19"/>
      <c r="D41" s="19"/>
      <c r="E41" s="19"/>
      <c r="F41" s="19"/>
      <c r="G41" s="19"/>
      <c r="H41" s="19"/>
      <c r="J41" s="19"/>
    </row>
    <row r="42" spans="2:10" ht="13.5">
      <c r="B42" s="19"/>
      <c r="C42" s="19"/>
      <c r="D42" s="19"/>
      <c r="E42" s="19"/>
      <c r="F42" s="19"/>
      <c r="G42" s="19"/>
      <c r="H42" s="19"/>
      <c r="J42" s="19"/>
    </row>
    <row r="43" spans="2:10" ht="13.5">
      <c r="B43" s="19"/>
      <c r="C43" s="19"/>
      <c r="D43" s="19"/>
      <c r="E43" s="19"/>
      <c r="F43" s="19"/>
      <c r="G43" s="19"/>
      <c r="H43" s="19"/>
      <c r="J43" s="19"/>
    </row>
    <row r="44" spans="2:10" ht="13.5">
      <c r="B44" s="19"/>
      <c r="C44" s="19"/>
      <c r="D44" s="19"/>
      <c r="E44" s="19"/>
      <c r="F44" s="19"/>
      <c r="G44" s="19"/>
      <c r="H44" s="19"/>
      <c r="J44" s="19"/>
    </row>
    <row r="45" spans="2:10" ht="13.5">
      <c r="B45" s="19"/>
      <c r="C45" s="19"/>
      <c r="D45" s="19"/>
      <c r="E45" s="19"/>
      <c r="F45" s="19"/>
      <c r="G45" s="19"/>
      <c r="H45" s="19"/>
      <c r="J45" s="19"/>
    </row>
    <row r="46" spans="2:10" ht="13.5">
      <c r="B46" s="19"/>
      <c r="C46" s="19"/>
      <c r="D46" s="19"/>
      <c r="E46" s="19"/>
      <c r="F46" s="19"/>
      <c r="G46" s="19"/>
      <c r="H46" s="19"/>
      <c r="J46" s="19"/>
    </row>
    <row r="47" spans="2:10" ht="13.5">
      <c r="B47" s="19"/>
      <c r="C47" s="19"/>
      <c r="D47" s="19"/>
      <c r="E47" s="19"/>
      <c r="F47" s="19"/>
      <c r="G47" s="19"/>
      <c r="H47" s="19"/>
      <c r="J47" s="19"/>
    </row>
    <row r="48" spans="2:10" ht="13.5">
      <c r="B48" s="19"/>
      <c r="C48" s="19"/>
      <c r="D48" s="19"/>
      <c r="E48" s="19"/>
      <c r="F48" s="19"/>
      <c r="G48" s="19"/>
      <c r="H48" s="19"/>
      <c r="J48" s="19"/>
    </row>
    <row r="49" spans="2:10" ht="13.5">
      <c r="B49" s="19"/>
      <c r="C49" s="19"/>
      <c r="D49" s="19"/>
      <c r="E49" s="19"/>
      <c r="F49" s="19"/>
      <c r="G49" s="19"/>
      <c r="H49" s="19"/>
      <c r="J49" s="19"/>
    </row>
    <row r="50" spans="2:10" ht="13.5">
      <c r="B50" s="19"/>
      <c r="C50" s="19"/>
      <c r="D50" s="19"/>
      <c r="E50" s="19"/>
      <c r="F50" s="19"/>
      <c r="G50" s="19"/>
      <c r="H50" s="19"/>
      <c r="J50" s="19"/>
    </row>
    <row r="51" spans="2:10" ht="13.5">
      <c r="B51" s="19"/>
      <c r="C51" s="19"/>
      <c r="D51" s="19"/>
      <c r="E51" s="19"/>
      <c r="F51" s="19"/>
      <c r="G51" s="19"/>
      <c r="H51" s="19"/>
      <c r="J51" s="19"/>
    </row>
    <row r="52" spans="2:10" ht="13.5">
      <c r="B52" s="19"/>
      <c r="C52" s="19"/>
      <c r="D52" s="19"/>
      <c r="E52" s="19"/>
      <c r="F52" s="19"/>
      <c r="G52" s="19"/>
      <c r="H52" s="19"/>
      <c r="J52" s="19"/>
    </row>
    <row r="53" spans="2:10" ht="13.5">
      <c r="B53" s="19"/>
      <c r="C53" s="19"/>
      <c r="D53" s="19"/>
      <c r="E53" s="19"/>
      <c r="F53" s="19"/>
      <c r="G53" s="19"/>
      <c r="H53" s="19"/>
      <c r="J53" s="19"/>
    </row>
  </sheetData>
  <sheetProtection/>
  <mergeCells count="11">
    <mergeCell ref="A39:I39"/>
    <mergeCell ref="A2:G2"/>
    <mergeCell ref="A3:A5"/>
    <mergeCell ref="B3:G3"/>
    <mergeCell ref="H3:I4"/>
    <mergeCell ref="N3:N5"/>
    <mergeCell ref="B4:C4"/>
    <mergeCell ref="D4:E4"/>
    <mergeCell ref="F4:G4"/>
    <mergeCell ref="J3:K4"/>
    <mergeCell ref="L3:M4"/>
  </mergeCells>
  <printOptions horizontalCentered="1"/>
  <pageMargins left="0.7874015748031497" right="0.7874015748031497" top="0.9055118110236221" bottom="0.5905511811023623" header="0.5118110236220472" footer="0.31496062992125984"/>
  <pageSetup fitToHeight="0" horizontalDpi="600" verticalDpi="600" orientation="landscape" paperSize="9" scale="75" r:id="rId1"/>
  <headerFooter alignWithMargins="0">
    <oddFooter>&amp;R札幌国税局　
消費税
（H25）</oddFooter>
  </headerFooter>
</worksheet>
</file>

<file path=xl/worksheets/sheet5.xml><?xml version="1.0" encoding="utf-8"?>
<worksheet xmlns="http://schemas.openxmlformats.org/spreadsheetml/2006/main" xmlns:r="http://schemas.openxmlformats.org/officeDocument/2006/relationships">
  <dimension ref="A1:N39"/>
  <sheetViews>
    <sheetView view="pageBreakPreview" zoomScaleSheetLayoutView="100" zoomScalePageLayoutView="0" workbookViewId="0" topLeftCell="A1">
      <selection activeCell="A1" sqref="A1"/>
    </sheetView>
  </sheetViews>
  <sheetFormatPr defaultColWidth="9.140625" defaultRowHeight="15"/>
  <cols>
    <col min="1" max="1" width="12.28125" style="3" customWidth="1"/>
    <col min="2" max="2" width="8.57421875" style="3" customWidth="1"/>
    <col min="3" max="3" width="11.57421875" style="3" customWidth="1"/>
    <col min="4" max="4" width="8.57421875" style="3" customWidth="1"/>
    <col min="5" max="5" width="11.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10.57421875" style="3" customWidth="1"/>
    <col min="13" max="13" width="12.57421875" style="3" customWidth="1"/>
    <col min="14" max="14" width="12.28125" style="3" customWidth="1"/>
    <col min="15" max="16384" width="9.00390625" style="3" customWidth="1"/>
  </cols>
  <sheetData>
    <row r="1" spans="1:13" ht="13.5">
      <c r="A1" s="1" t="s">
        <v>38</v>
      </c>
      <c r="B1" s="1"/>
      <c r="C1" s="1"/>
      <c r="D1" s="1"/>
      <c r="E1" s="1"/>
      <c r="F1" s="1"/>
      <c r="G1" s="1"/>
      <c r="H1" s="1"/>
      <c r="I1" s="1"/>
      <c r="J1" s="1"/>
      <c r="K1" s="1"/>
      <c r="L1" s="2"/>
      <c r="M1" s="2"/>
    </row>
    <row r="2" spans="1:13" ht="14.25" thickBot="1">
      <c r="A2" s="193" t="s">
        <v>39</v>
      </c>
      <c r="B2" s="193"/>
      <c r="C2" s="193"/>
      <c r="D2" s="193"/>
      <c r="E2" s="193"/>
      <c r="F2" s="193"/>
      <c r="G2" s="193"/>
      <c r="H2" s="193"/>
      <c r="I2" s="193"/>
      <c r="J2" s="18"/>
      <c r="K2" s="18"/>
      <c r="L2" s="2"/>
      <c r="M2" s="2"/>
    </row>
    <row r="3" spans="1:14" ht="19.5" customHeight="1">
      <c r="A3" s="189" t="s">
        <v>77</v>
      </c>
      <c r="B3" s="192" t="s">
        <v>82</v>
      </c>
      <c r="C3" s="192"/>
      <c r="D3" s="192"/>
      <c r="E3" s="192"/>
      <c r="F3" s="192"/>
      <c r="G3" s="192"/>
      <c r="H3" s="188" t="s">
        <v>1</v>
      </c>
      <c r="I3" s="186"/>
      <c r="J3" s="185" t="s">
        <v>2</v>
      </c>
      <c r="K3" s="186"/>
      <c r="L3" s="188" t="s">
        <v>3</v>
      </c>
      <c r="M3" s="186"/>
      <c r="N3" s="177" t="s">
        <v>40</v>
      </c>
    </row>
    <row r="4" spans="1:14" ht="17.25" customHeight="1">
      <c r="A4" s="190"/>
      <c r="B4" s="183" t="s">
        <v>78</v>
      </c>
      <c r="C4" s="184"/>
      <c r="D4" s="183" t="s">
        <v>5</v>
      </c>
      <c r="E4" s="184"/>
      <c r="F4" s="183" t="s">
        <v>6</v>
      </c>
      <c r="G4" s="184"/>
      <c r="H4" s="183"/>
      <c r="I4" s="187"/>
      <c r="J4" s="183"/>
      <c r="K4" s="187"/>
      <c r="L4" s="183"/>
      <c r="M4" s="187"/>
      <c r="N4" s="178"/>
    </row>
    <row r="5" spans="1:14" ht="28.5" customHeight="1">
      <c r="A5" s="191"/>
      <c r="B5" s="86" t="s">
        <v>79</v>
      </c>
      <c r="C5" s="26" t="s">
        <v>80</v>
      </c>
      <c r="D5" s="86" t="s">
        <v>79</v>
      </c>
      <c r="E5" s="26" t="s">
        <v>80</v>
      </c>
      <c r="F5" s="86" t="s">
        <v>79</v>
      </c>
      <c r="G5" s="26" t="s">
        <v>81</v>
      </c>
      <c r="H5" s="86" t="s">
        <v>79</v>
      </c>
      <c r="I5" s="27" t="s">
        <v>83</v>
      </c>
      <c r="J5" s="86" t="s">
        <v>79</v>
      </c>
      <c r="K5" s="27" t="s">
        <v>84</v>
      </c>
      <c r="L5" s="25" t="s">
        <v>79</v>
      </c>
      <c r="M5" s="28" t="s">
        <v>85</v>
      </c>
      <c r="N5" s="179"/>
    </row>
    <row r="6" spans="1:14" s="20" customFormat="1" ht="10.5">
      <c r="A6" s="5"/>
      <c r="B6" s="6" t="s">
        <v>7</v>
      </c>
      <c r="C6" s="7" t="s">
        <v>8</v>
      </c>
      <c r="D6" s="6" t="s">
        <v>7</v>
      </c>
      <c r="E6" s="7" t="s">
        <v>8</v>
      </c>
      <c r="F6" s="6" t="s">
        <v>7</v>
      </c>
      <c r="G6" s="7" t="s">
        <v>8</v>
      </c>
      <c r="H6" s="6" t="s">
        <v>7</v>
      </c>
      <c r="I6" s="8" t="s">
        <v>8</v>
      </c>
      <c r="J6" s="6" t="s">
        <v>7</v>
      </c>
      <c r="K6" s="8" t="s">
        <v>8</v>
      </c>
      <c r="L6" s="6" t="s">
        <v>7</v>
      </c>
      <c r="M6" s="8" t="s">
        <v>8</v>
      </c>
      <c r="N6" s="9"/>
    </row>
    <row r="7" spans="1:14" ht="18.75" customHeight="1">
      <c r="A7" s="11" t="s">
        <v>88</v>
      </c>
      <c r="B7" s="125">
        <f>_xlfn.COMPOUNDVALUE(121)</f>
        <v>3204</v>
      </c>
      <c r="C7" s="126">
        <v>30269349</v>
      </c>
      <c r="D7" s="125">
        <f>_xlfn.COMPOUNDVALUE(122)</f>
        <v>799</v>
      </c>
      <c r="E7" s="126">
        <v>354727</v>
      </c>
      <c r="F7" s="125">
        <f>_xlfn.COMPOUNDVALUE(123)</f>
        <v>4003</v>
      </c>
      <c r="G7" s="126">
        <v>30624075</v>
      </c>
      <c r="H7" s="125">
        <f>_xlfn.COMPOUNDVALUE(124)</f>
        <v>225</v>
      </c>
      <c r="I7" s="127">
        <v>2803222</v>
      </c>
      <c r="J7" s="125">
        <v>261</v>
      </c>
      <c r="K7" s="127">
        <v>34354</v>
      </c>
      <c r="L7" s="125">
        <f>_xlfn.COMPOUNDVALUE(124)</f>
        <v>4270</v>
      </c>
      <c r="M7" s="127">
        <v>27855208</v>
      </c>
      <c r="N7" s="12" t="s">
        <v>88</v>
      </c>
    </row>
    <row r="8" spans="1:14" ht="18.75" customHeight="1">
      <c r="A8" s="11" t="s">
        <v>10</v>
      </c>
      <c r="B8" s="125">
        <f>_xlfn.COMPOUNDVALUE(125)</f>
        <v>6261</v>
      </c>
      <c r="C8" s="126">
        <v>27906087</v>
      </c>
      <c r="D8" s="125">
        <f>_xlfn.COMPOUNDVALUE(126)</f>
        <v>2723</v>
      </c>
      <c r="E8" s="126">
        <v>1063604</v>
      </c>
      <c r="F8" s="125">
        <f>_xlfn.COMPOUNDVALUE(127)</f>
        <v>8984</v>
      </c>
      <c r="G8" s="126">
        <v>28969691</v>
      </c>
      <c r="H8" s="125">
        <f>_xlfn.COMPOUNDVALUE(128)</f>
        <v>340</v>
      </c>
      <c r="I8" s="127">
        <v>1276905</v>
      </c>
      <c r="J8" s="125">
        <v>497</v>
      </c>
      <c r="K8" s="127">
        <v>143075</v>
      </c>
      <c r="L8" s="125">
        <f>_xlfn.COMPOUNDVALUE(128)</f>
        <v>9417</v>
      </c>
      <c r="M8" s="127">
        <v>27835861</v>
      </c>
      <c r="N8" s="12" t="s">
        <v>10</v>
      </c>
    </row>
    <row r="9" spans="1:14" ht="18.75" customHeight="1">
      <c r="A9" s="11" t="s">
        <v>11</v>
      </c>
      <c r="B9" s="125">
        <f>_xlfn.COMPOUNDVALUE(129)</f>
        <v>4914</v>
      </c>
      <c r="C9" s="126">
        <v>17195978</v>
      </c>
      <c r="D9" s="125">
        <f>_xlfn.COMPOUNDVALUE(130)</f>
        <v>2197</v>
      </c>
      <c r="E9" s="126">
        <v>846444</v>
      </c>
      <c r="F9" s="125">
        <f>_xlfn.COMPOUNDVALUE(131)</f>
        <v>7111</v>
      </c>
      <c r="G9" s="126">
        <v>18042421</v>
      </c>
      <c r="H9" s="125">
        <f>_xlfn.COMPOUNDVALUE(132)</f>
        <v>275</v>
      </c>
      <c r="I9" s="127">
        <v>374530</v>
      </c>
      <c r="J9" s="125">
        <v>465</v>
      </c>
      <c r="K9" s="127">
        <v>68029</v>
      </c>
      <c r="L9" s="125">
        <f>_xlfn.COMPOUNDVALUE(132)</f>
        <v>7490</v>
      </c>
      <c r="M9" s="127">
        <v>17735920</v>
      </c>
      <c r="N9" s="12" t="s">
        <v>11</v>
      </c>
    </row>
    <row r="10" spans="1:14" ht="18.75" customHeight="1">
      <c r="A10" s="11" t="s">
        <v>12</v>
      </c>
      <c r="B10" s="125">
        <f>_xlfn.COMPOUNDVALUE(133)</f>
        <v>5357</v>
      </c>
      <c r="C10" s="126">
        <v>23630319</v>
      </c>
      <c r="D10" s="125">
        <f>_xlfn.COMPOUNDVALUE(134)</f>
        <v>2213</v>
      </c>
      <c r="E10" s="126">
        <v>878088</v>
      </c>
      <c r="F10" s="125">
        <f>_xlfn.COMPOUNDVALUE(135)</f>
        <v>7570</v>
      </c>
      <c r="G10" s="126">
        <v>24508408</v>
      </c>
      <c r="H10" s="125">
        <f>_xlfn.COMPOUNDVALUE(136)</f>
        <v>384</v>
      </c>
      <c r="I10" s="127">
        <v>1944924</v>
      </c>
      <c r="J10" s="125">
        <v>482</v>
      </c>
      <c r="K10" s="127">
        <v>30317</v>
      </c>
      <c r="L10" s="125">
        <f>_xlfn.COMPOUNDVALUE(136)</f>
        <v>8036</v>
      </c>
      <c r="M10" s="127">
        <v>22593801</v>
      </c>
      <c r="N10" s="12" t="s">
        <v>12</v>
      </c>
    </row>
    <row r="11" spans="1:14" ht="18.75" customHeight="1">
      <c r="A11" s="11" t="s">
        <v>13</v>
      </c>
      <c r="B11" s="125">
        <f>_xlfn.COMPOUNDVALUE(137)</f>
        <v>4114</v>
      </c>
      <c r="C11" s="126">
        <v>19176819</v>
      </c>
      <c r="D11" s="125">
        <f>_xlfn.COMPOUNDVALUE(138)</f>
        <v>1642</v>
      </c>
      <c r="E11" s="126">
        <v>626971</v>
      </c>
      <c r="F11" s="125">
        <f>_xlfn.COMPOUNDVALUE(139)</f>
        <v>5756</v>
      </c>
      <c r="G11" s="126">
        <v>19803790</v>
      </c>
      <c r="H11" s="125">
        <f>_xlfn.COMPOUNDVALUE(140)</f>
        <v>178</v>
      </c>
      <c r="I11" s="127">
        <v>431499</v>
      </c>
      <c r="J11" s="125">
        <v>328</v>
      </c>
      <c r="K11" s="127">
        <v>29889</v>
      </c>
      <c r="L11" s="125">
        <f>_xlfn.COMPOUNDVALUE(140)</f>
        <v>5985</v>
      </c>
      <c r="M11" s="127">
        <v>19402180</v>
      </c>
      <c r="N11" s="12" t="s">
        <v>13</v>
      </c>
    </row>
    <row r="12" spans="1:14" ht="18.75" customHeight="1">
      <c r="A12" s="11" t="s">
        <v>86</v>
      </c>
      <c r="B12" s="125">
        <f>_xlfn.COMPOUNDVALUE(141)</f>
        <v>3542</v>
      </c>
      <c r="C12" s="126">
        <v>10559953</v>
      </c>
      <c r="D12" s="125">
        <f>_xlfn.COMPOUNDVALUE(142)</f>
        <v>1605</v>
      </c>
      <c r="E12" s="126">
        <v>613744</v>
      </c>
      <c r="F12" s="125">
        <f>_xlfn.COMPOUNDVALUE(143)</f>
        <v>5147</v>
      </c>
      <c r="G12" s="126">
        <v>11173697</v>
      </c>
      <c r="H12" s="125">
        <f>_xlfn.COMPOUNDVALUE(144)</f>
        <v>153</v>
      </c>
      <c r="I12" s="127">
        <v>465680</v>
      </c>
      <c r="J12" s="125">
        <v>284</v>
      </c>
      <c r="K12" s="127">
        <v>703451</v>
      </c>
      <c r="L12" s="125">
        <f>_xlfn.COMPOUNDVALUE(144)</f>
        <v>5355</v>
      </c>
      <c r="M12" s="127">
        <v>11411468</v>
      </c>
      <c r="N12" s="12" t="s">
        <v>86</v>
      </c>
    </row>
    <row r="13" spans="1:14" ht="18.75" customHeight="1">
      <c r="A13" s="11" t="s">
        <v>14</v>
      </c>
      <c r="B13" s="125">
        <f>_xlfn.COMPOUNDVALUE(145)</f>
        <v>1295</v>
      </c>
      <c r="C13" s="126">
        <v>4969925</v>
      </c>
      <c r="D13" s="125">
        <f>_xlfn.COMPOUNDVALUE(146)</f>
        <v>579</v>
      </c>
      <c r="E13" s="126">
        <v>185302</v>
      </c>
      <c r="F13" s="125">
        <f>_xlfn.COMPOUNDVALUE(147)</f>
        <v>1874</v>
      </c>
      <c r="G13" s="126">
        <v>5155227</v>
      </c>
      <c r="H13" s="125">
        <f>_xlfn.COMPOUNDVALUE(148)</f>
        <v>102</v>
      </c>
      <c r="I13" s="127">
        <v>287431</v>
      </c>
      <c r="J13" s="125">
        <v>107</v>
      </c>
      <c r="K13" s="127">
        <v>-11744</v>
      </c>
      <c r="L13" s="125">
        <f>_xlfn.COMPOUNDVALUE(148)</f>
        <v>1997</v>
      </c>
      <c r="M13" s="127">
        <v>4856051</v>
      </c>
      <c r="N13" s="12" t="s">
        <v>14</v>
      </c>
    </row>
    <row r="14" spans="1:14" ht="18.75" customHeight="1">
      <c r="A14" s="11" t="s">
        <v>15</v>
      </c>
      <c r="B14" s="125">
        <f>_xlfn.COMPOUNDVALUE(149)</f>
        <v>1357</v>
      </c>
      <c r="C14" s="126">
        <v>4599214</v>
      </c>
      <c r="D14" s="125">
        <f>_xlfn.COMPOUNDVALUE(150)</f>
        <v>727</v>
      </c>
      <c r="E14" s="126">
        <v>270252</v>
      </c>
      <c r="F14" s="125">
        <f>_xlfn.COMPOUNDVALUE(151)</f>
        <v>2084</v>
      </c>
      <c r="G14" s="126">
        <v>4869467</v>
      </c>
      <c r="H14" s="125">
        <f>_xlfn.COMPOUNDVALUE(152)</f>
        <v>62</v>
      </c>
      <c r="I14" s="127">
        <v>193023</v>
      </c>
      <c r="J14" s="125">
        <v>141</v>
      </c>
      <c r="K14" s="127">
        <v>14779</v>
      </c>
      <c r="L14" s="125">
        <f>_xlfn.COMPOUNDVALUE(152)</f>
        <v>2159</v>
      </c>
      <c r="M14" s="127">
        <v>4691223</v>
      </c>
      <c r="N14" s="12" t="s">
        <v>15</v>
      </c>
    </row>
    <row r="15" spans="1:14" s="15" customFormat="1" ht="18.75" customHeight="1">
      <c r="A15" s="11" t="s">
        <v>16</v>
      </c>
      <c r="B15" s="125">
        <f>_xlfn.COMPOUNDVALUE(153)</f>
        <v>2382</v>
      </c>
      <c r="C15" s="126">
        <v>6778160</v>
      </c>
      <c r="D15" s="125">
        <f>_xlfn.COMPOUNDVALUE(154)</f>
        <v>1113</v>
      </c>
      <c r="E15" s="126">
        <v>424962</v>
      </c>
      <c r="F15" s="125">
        <f>_xlfn.COMPOUNDVALUE(155)</f>
        <v>3495</v>
      </c>
      <c r="G15" s="126">
        <v>7203122</v>
      </c>
      <c r="H15" s="125">
        <f>_xlfn.COMPOUNDVALUE(156)</f>
        <v>112</v>
      </c>
      <c r="I15" s="127">
        <v>143400</v>
      </c>
      <c r="J15" s="125">
        <v>201</v>
      </c>
      <c r="K15" s="127">
        <v>17191</v>
      </c>
      <c r="L15" s="125">
        <f>_xlfn.COMPOUNDVALUE(156)</f>
        <v>3637</v>
      </c>
      <c r="M15" s="127">
        <v>7076913</v>
      </c>
      <c r="N15" s="12" t="s">
        <v>16</v>
      </c>
    </row>
    <row r="16" spans="1:14" s="21" customFormat="1" ht="18.75" customHeight="1">
      <c r="A16" s="11" t="s">
        <v>17</v>
      </c>
      <c r="B16" s="125">
        <f>_xlfn.COMPOUNDVALUE(157)</f>
        <v>1672</v>
      </c>
      <c r="C16" s="126">
        <v>6283793</v>
      </c>
      <c r="D16" s="125">
        <f>_xlfn.COMPOUNDVALUE(158)</f>
        <v>791</v>
      </c>
      <c r="E16" s="126">
        <v>300771</v>
      </c>
      <c r="F16" s="125">
        <f>_xlfn.COMPOUNDVALUE(159)</f>
        <v>2463</v>
      </c>
      <c r="G16" s="126">
        <v>6584564</v>
      </c>
      <c r="H16" s="125">
        <f>_xlfn.COMPOUNDVALUE(160)</f>
        <v>88</v>
      </c>
      <c r="I16" s="127">
        <v>293180</v>
      </c>
      <c r="J16" s="125">
        <v>161</v>
      </c>
      <c r="K16" s="127">
        <v>33009</v>
      </c>
      <c r="L16" s="125">
        <f>_xlfn.COMPOUNDVALUE(160)</f>
        <v>2581</v>
      </c>
      <c r="M16" s="127">
        <v>6324392</v>
      </c>
      <c r="N16" s="12" t="s">
        <v>17</v>
      </c>
    </row>
    <row r="17" spans="1:14" ht="18.75" customHeight="1">
      <c r="A17" s="11" t="s">
        <v>18</v>
      </c>
      <c r="B17" s="125">
        <f>_xlfn.COMPOUNDVALUE(161)</f>
        <v>2403</v>
      </c>
      <c r="C17" s="126">
        <v>7291937</v>
      </c>
      <c r="D17" s="125">
        <f>_xlfn.COMPOUNDVALUE(162)</f>
        <v>1084</v>
      </c>
      <c r="E17" s="126">
        <v>423337</v>
      </c>
      <c r="F17" s="125">
        <f>_xlfn.COMPOUNDVALUE(163)</f>
        <v>3487</v>
      </c>
      <c r="G17" s="126">
        <v>7715274</v>
      </c>
      <c r="H17" s="125">
        <f>_xlfn.COMPOUNDVALUE(164)</f>
        <v>133</v>
      </c>
      <c r="I17" s="127">
        <v>743618</v>
      </c>
      <c r="J17" s="125">
        <v>234</v>
      </c>
      <c r="K17" s="127">
        <v>37090</v>
      </c>
      <c r="L17" s="125">
        <f>_xlfn.COMPOUNDVALUE(164)</f>
        <v>3670</v>
      </c>
      <c r="M17" s="127">
        <v>7008746</v>
      </c>
      <c r="N17" s="12" t="s">
        <v>18</v>
      </c>
    </row>
    <row r="18" spans="1:14" ht="18.75" customHeight="1">
      <c r="A18" s="11" t="s">
        <v>19</v>
      </c>
      <c r="B18" s="125">
        <f>_xlfn.COMPOUNDVALUE(165)</f>
        <v>3464</v>
      </c>
      <c r="C18" s="126">
        <v>12426678</v>
      </c>
      <c r="D18" s="125">
        <f>_xlfn.COMPOUNDVALUE(166)</f>
        <v>1233</v>
      </c>
      <c r="E18" s="126">
        <v>498763</v>
      </c>
      <c r="F18" s="125">
        <f>_xlfn.COMPOUNDVALUE(167)</f>
        <v>4697</v>
      </c>
      <c r="G18" s="126">
        <v>12925441</v>
      </c>
      <c r="H18" s="125">
        <f>_xlfn.COMPOUNDVALUE(168)</f>
        <v>271</v>
      </c>
      <c r="I18" s="127">
        <v>1156061</v>
      </c>
      <c r="J18" s="125">
        <v>273</v>
      </c>
      <c r="K18" s="127">
        <v>44737</v>
      </c>
      <c r="L18" s="125">
        <f>_xlfn.COMPOUNDVALUE(168)</f>
        <v>5002</v>
      </c>
      <c r="M18" s="127">
        <v>11814117</v>
      </c>
      <c r="N18" s="12" t="s">
        <v>19</v>
      </c>
    </row>
    <row r="19" spans="1:14" ht="18.75" customHeight="1">
      <c r="A19" s="11" t="s">
        <v>20</v>
      </c>
      <c r="B19" s="125">
        <f>_xlfn.COMPOUNDVALUE(169)</f>
        <v>1335</v>
      </c>
      <c r="C19" s="126">
        <v>4098078</v>
      </c>
      <c r="D19" s="125">
        <f>_xlfn.COMPOUNDVALUE(170)</f>
        <v>581</v>
      </c>
      <c r="E19" s="126">
        <v>222487</v>
      </c>
      <c r="F19" s="125">
        <f>_xlfn.COMPOUNDVALUE(171)</f>
        <v>1916</v>
      </c>
      <c r="G19" s="126">
        <v>4320566</v>
      </c>
      <c r="H19" s="125">
        <f>_xlfn.COMPOUNDVALUE(172)</f>
        <v>90</v>
      </c>
      <c r="I19" s="127">
        <v>153701</v>
      </c>
      <c r="J19" s="125">
        <v>93</v>
      </c>
      <c r="K19" s="127">
        <v>22636</v>
      </c>
      <c r="L19" s="125">
        <f>_xlfn.COMPOUNDVALUE(172)</f>
        <v>2021</v>
      </c>
      <c r="M19" s="127">
        <v>4189501</v>
      </c>
      <c r="N19" s="12" t="s">
        <v>20</v>
      </c>
    </row>
    <row r="20" spans="1:14" ht="18.75" customHeight="1">
      <c r="A20" s="11" t="s">
        <v>21</v>
      </c>
      <c r="B20" s="125">
        <f>_xlfn.COMPOUNDVALUE(173)</f>
        <v>1491</v>
      </c>
      <c r="C20" s="126">
        <v>3642678</v>
      </c>
      <c r="D20" s="125">
        <f>_xlfn.COMPOUNDVALUE(174)</f>
        <v>719</v>
      </c>
      <c r="E20" s="126">
        <v>267158</v>
      </c>
      <c r="F20" s="125">
        <f>_xlfn.COMPOUNDVALUE(175)</f>
        <v>2210</v>
      </c>
      <c r="G20" s="126">
        <v>3909836</v>
      </c>
      <c r="H20" s="125">
        <f>_xlfn.COMPOUNDVALUE(176)</f>
        <v>95</v>
      </c>
      <c r="I20" s="127">
        <v>225857</v>
      </c>
      <c r="J20" s="125">
        <v>92</v>
      </c>
      <c r="K20" s="127">
        <v>25840</v>
      </c>
      <c r="L20" s="125">
        <f>_xlfn.COMPOUNDVALUE(176)</f>
        <v>2317</v>
      </c>
      <c r="M20" s="127">
        <v>3709819</v>
      </c>
      <c r="N20" s="12" t="s">
        <v>21</v>
      </c>
    </row>
    <row r="21" spans="1:14" ht="18.75" customHeight="1">
      <c r="A21" s="11" t="s">
        <v>22</v>
      </c>
      <c r="B21" s="125">
        <f>_xlfn.COMPOUNDVALUE(177)</f>
        <v>1033</v>
      </c>
      <c r="C21" s="126">
        <v>3373656</v>
      </c>
      <c r="D21" s="125">
        <f>_xlfn.COMPOUNDVALUE(178)</f>
        <v>374</v>
      </c>
      <c r="E21" s="126">
        <v>133280</v>
      </c>
      <c r="F21" s="125">
        <f>_xlfn.COMPOUNDVALUE(179)</f>
        <v>1407</v>
      </c>
      <c r="G21" s="126">
        <v>3506935</v>
      </c>
      <c r="H21" s="125">
        <f>_xlfn.COMPOUNDVALUE(180)</f>
        <v>130</v>
      </c>
      <c r="I21" s="127">
        <v>105264</v>
      </c>
      <c r="J21" s="125">
        <v>53</v>
      </c>
      <c r="K21" s="127">
        <v>13591</v>
      </c>
      <c r="L21" s="125">
        <f>_xlfn.COMPOUNDVALUE(180)</f>
        <v>1560</v>
      </c>
      <c r="M21" s="127">
        <v>3415262</v>
      </c>
      <c r="N21" s="12" t="s">
        <v>22</v>
      </c>
    </row>
    <row r="22" spans="1:14" ht="18.75" customHeight="1">
      <c r="A22" s="11" t="s">
        <v>23</v>
      </c>
      <c r="B22" s="125">
        <f>_xlfn.COMPOUNDVALUE(181)</f>
        <v>458</v>
      </c>
      <c r="C22" s="126">
        <v>1159364</v>
      </c>
      <c r="D22" s="125">
        <f>_xlfn.COMPOUNDVALUE(182)</f>
        <v>216</v>
      </c>
      <c r="E22" s="126">
        <v>80833</v>
      </c>
      <c r="F22" s="125">
        <f>_xlfn.COMPOUNDVALUE(183)</f>
        <v>674</v>
      </c>
      <c r="G22" s="126">
        <v>1240197</v>
      </c>
      <c r="H22" s="125">
        <f>_xlfn.COMPOUNDVALUE(184)</f>
        <v>23</v>
      </c>
      <c r="I22" s="127">
        <v>70539</v>
      </c>
      <c r="J22" s="125">
        <v>36</v>
      </c>
      <c r="K22" s="127">
        <v>-424</v>
      </c>
      <c r="L22" s="125">
        <f>_xlfn.COMPOUNDVALUE(184)</f>
        <v>702</v>
      </c>
      <c r="M22" s="127">
        <v>1169234</v>
      </c>
      <c r="N22" s="12" t="s">
        <v>23</v>
      </c>
    </row>
    <row r="23" spans="1:14" ht="18.75" customHeight="1">
      <c r="A23" s="11" t="s">
        <v>24</v>
      </c>
      <c r="B23" s="125">
        <f>_xlfn.COMPOUNDVALUE(185)</f>
        <v>2257</v>
      </c>
      <c r="C23" s="126">
        <v>9048825</v>
      </c>
      <c r="D23" s="125">
        <f>_xlfn.COMPOUNDVALUE(186)</f>
        <v>957</v>
      </c>
      <c r="E23" s="126">
        <v>377681</v>
      </c>
      <c r="F23" s="125">
        <f>_xlfn.COMPOUNDVALUE(187)</f>
        <v>3214</v>
      </c>
      <c r="G23" s="126">
        <v>9426505</v>
      </c>
      <c r="H23" s="125">
        <f>_xlfn.COMPOUNDVALUE(188)</f>
        <v>163</v>
      </c>
      <c r="I23" s="127">
        <v>697329</v>
      </c>
      <c r="J23" s="125">
        <v>188</v>
      </c>
      <c r="K23" s="127">
        <v>10066</v>
      </c>
      <c r="L23" s="125">
        <f>_xlfn.COMPOUNDVALUE(188)</f>
        <v>3431</v>
      </c>
      <c r="M23" s="127">
        <v>8739242</v>
      </c>
      <c r="N23" s="12" t="s">
        <v>24</v>
      </c>
    </row>
    <row r="24" spans="1:14" ht="18.75" customHeight="1">
      <c r="A24" s="13" t="s">
        <v>25</v>
      </c>
      <c r="B24" s="128">
        <f>_xlfn.COMPOUNDVALUE(189)</f>
        <v>982</v>
      </c>
      <c r="C24" s="129">
        <v>2764304</v>
      </c>
      <c r="D24" s="128">
        <f>_xlfn.COMPOUNDVALUE(190)</f>
        <v>303</v>
      </c>
      <c r="E24" s="129">
        <v>119095</v>
      </c>
      <c r="F24" s="128">
        <f>_xlfn.COMPOUNDVALUE(191)</f>
        <v>1285</v>
      </c>
      <c r="G24" s="129">
        <v>2883399</v>
      </c>
      <c r="H24" s="128">
        <f>_xlfn.COMPOUNDVALUE(192)</f>
        <v>77</v>
      </c>
      <c r="I24" s="130">
        <v>160945</v>
      </c>
      <c r="J24" s="128">
        <v>79</v>
      </c>
      <c r="K24" s="130">
        <v>79365</v>
      </c>
      <c r="L24" s="128">
        <f>_xlfn.COMPOUNDVALUE(192)</f>
        <v>1381</v>
      </c>
      <c r="M24" s="130">
        <v>2801819</v>
      </c>
      <c r="N24" s="14" t="s">
        <v>25</v>
      </c>
    </row>
    <row r="25" spans="1:14" s="15" customFormat="1" ht="18.75" customHeight="1">
      <c r="A25" s="13" t="s">
        <v>26</v>
      </c>
      <c r="B25" s="128">
        <f>_xlfn.COMPOUNDVALUE(193)</f>
        <v>730</v>
      </c>
      <c r="C25" s="129">
        <v>2036342</v>
      </c>
      <c r="D25" s="128">
        <f>_xlfn.COMPOUNDVALUE(194)</f>
        <v>232</v>
      </c>
      <c r="E25" s="129">
        <v>85214</v>
      </c>
      <c r="F25" s="128">
        <f>_xlfn.COMPOUNDVALUE(195)</f>
        <v>962</v>
      </c>
      <c r="G25" s="129">
        <v>2121556</v>
      </c>
      <c r="H25" s="128">
        <f>_xlfn.COMPOUNDVALUE(196)</f>
        <v>50</v>
      </c>
      <c r="I25" s="130">
        <v>157167</v>
      </c>
      <c r="J25" s="128">
        <v>73</v>
      </c>
      <c r="K25" s="130">
        <v>4078</v>
      </c>
      <c r="L25" s="128">
        <f>_xlfn.COMPOUNDVALUE(196)</f>
        <v>1028</v>
      </c>
      <c r="M25" s="130">
        <v>1968467</v>
      </c>
      <c r="N25" s="14" t="s">
        <v>26</v>
      </c>
    </row>
    <row r="26" spans="1:14" s="21" customFormat="1" ht="18.75" customHeight="1">
      <c r="A26" s="13" t="s">
        <v>27</v>
      </c>
      <c r="B26" s="128">
        <f>_xlfn.COMPOUNDVALUE(197)</f>
        <v>617</v>
      </c>
      <c r="C26" s="129">
        <v>1587709</v>
      </c>
      <c r="D26" s="128">
        <f>_xlfn.COMPOUNDVALUE(198)</f>
        <v>277</v>
      </c>
      <c r="E26" s="129">
        <v>97608</v>
      </c>
      <c r="F26" s="128">
        <f>_xlfn.COMPOUNDVALUE(199)</f>
        <v>894</v>
      </c>
      <c r="G26" s="129">
        <v>1685316</v>
      </c>
      <c r="H26" s="128">
        <f>_xlfn.COMPOUNDVALUE(200)</f>
        <v>51</v>
      </c>
      <c r="I26" s="130">
        <v>122721</v>
      </c>
      <c r="J26" s="128">
        <v>47</v>
      </c>
      <c r="K26" s="130">
        <v>-4734</v>
      </c>
      <c r="L26" s="128">
        <f>_xlfn.COMPOUNDVALUE(200)</f>
        <v>950</v>
      </c>
      <c r="M26" s="130">
        <v>1557862</v>
      </c>
      <c r="N26" s="14" t="s">
        <v>27</v>
      </c>
    </row>
    <row r="27" spans="1:14" ht="18.75" customHeight="1">
      <c r="A27" s="13" t="s">
        <v>28</v>
      </c>
      <c r="B27" s="128">
        <f>_xlfn.COMPOUNDVALUE(201)</f>
        <v>1160</v>
      </c>
      <c r="C27" s="129">
        <v>3026451</v>
      </c>
      <c r="D27" s="128">
        <f>_xlfn.COMPOUNDVALUE(202)</f>
        <v>420</v>
      </c>
      <c r="E27" s="129">
        <v>167826</v>
      </c>
      <c r="F27" s="128">
        <f>_xlfn.COMPOUNDVALUE(203)</f>
        <v>1580</v>
      </c>
      <c r="G27" s="129">
        <v>3194277</v>
      </c>
      <c r="H27" s="128">
        <f>_xlfn.COMPOUNDVALUE(204)</f>
        <v>75</v>
      </c>
      <c r="I27" s="130">
        <v>230018</v>
      </c>
      <c r="J27" s="128">
        <v>90</v>
      </c>
      <c r="K27" s="130">
        <v>11941</v>
      </c>
      <c r="L27" s="128">
        <f>_xlfn.COMPOUNDVALUE(204)</f>
        <v>1666</v>
      </c>
      <c r="M27" s="130">
        <v>2976200</v>
      </c>
      <c r="N27" s="14" t="s">
        <v>28</v>
      </c>
    </row>
    <row r="28" spans="1:14" ht="18.75" customHeight="1">
      <c r="A28" s="13" t="s">
        <v>29</v>
      </c>
      <c r="B28" s="128">
        <f>_xlfn.COMPOUNDVALUE(205)</f>
        <v>891</v>
      </c>
      <c r="C28" s="129">
        <v>3308970</v>
      </c>
      <c r="D28" s="128">
        <f>_xlfn.COMPOUNDVALUE(206)</f>
        <v>504</v>
      </c>
      <c r="E28" s="129">
        <v>195526</v>
      </c>
      <c r="F28" s="128">
        <f>_xlfn.COMPOUNDVALUE(207)</f>
        <v>1395</v>
      </c>
      <c r="G28" s="129">
        <v>3504496</v>
      </c>
      <c r="H28" s="128">
        <f>_xlfn.COMPOUNDVALUE(208)</f>
        <v>36</v>
      </c>
      <c r="I28" s="130">
        <v>96739</v>
      </c>
      <c r="J28" s="128">
        <v>73</v>
      </c>
      <c r="K28" s="130">
        <v>20909</v>
      </c>
      <c r="L28" s="128">
        <f>_xlfn.COMPOUNDVALUE(208)</f>
        <v>1452</v>
      </c>
      <c r="M28" s="130">
        <v>3428666</v>
      </c>
      <c r="N28" s="14" t="s">
        <v>29</v>
      </c>
    </row>
    <row r="29" spans="1:14" ht="18.75" customHeight="1">
      <c r="A29" s="13" t="s">
        <v>30</v>
      </c>
      <c r="B29" s="128">
        <f>_xlfn.COMPOUNDVALUE(209)</f>
        <v>368</v>
      </c>
      <c r="C29" s="129">
        <v>874029</v>
      </c>
      <c r="D29" s="128">
        <f>_xlfn.COMPOUNDVALUE(210)</f>
        <v>140</v>
      </c>
      <c r="E29" s="129">
        <v>48370</v>
      </c>
      <c r="F29" s="128">
        <f>_xlfn.COMPOUNDVALUE(211)</f>
        <v>508</v>
      </c>
      <c r="G29" s="129">
        <v>922399</v>
      </c>
      <c r="H29" s="128">
        <f>_xlfn.COMPOUNDVALUE(212)</f>
        <v>28</v>
      </c>
      <c r="I29" s="130">
        <v>24235</v>
      </c>
      <c r="J29" s="128">
        <v>17</v>
      </c>
      <c r="K29" s="130">
        <v>1648</v>
      </c>
      <c r="L29" s="128">
        <f>_xlfn.COMPOUNDVALUE(212)</f>
        <v>538</v>
      </c>
      <c r="M29" s="130">
        <v>899811</v>
      </c>
      <c r="N29" s="14" t="s">
        <v>30</v>
      </c>
    </row>
    <row r="30" spans="1:14" ht="18.75" customHeight="1">
      <c r="A30" s="13" t="s">
        <v>31</v>
      </c>
      <c r="B30" s="128">
        <f>_xlfn.COMPOUNDVALUE(213)</f>
        <v>370</v>
      </c>
      <c r="C30" s="129">
        <v>1161860</v>
      </c>
      <c r="D30" s="128">
        <f>_xlfn.COMPOUNDVALUE(214)</f>
        <v>155</v>
      </c>
      <c r="E30" s="129">
        <v>56884</v>
      </c>
      <c r="F30" s="128">
        <f>_xlfn.COMPOUNDVALUE(215)</f>
        <v>525</v>
      </c>
      <c r="G30" s="129">
        <v>1218744</v>
      </c>
      <c r="H30" s="128">
        <f>_xlfn.COMPOUNDVALUE(216)</f>
        <v>26</v>
      </c>
      <c r="I30" s="130">
        <v>53973</v>
      </c>
      <c r="J30" s="128">
        <v>30</v>
      </c>
      <c r="K30" s="130">
        <v>-8016</v>
      </c>
      <c r="L30" s="128">
        <f>_xlfn.COMPOUNDVALUE(216)</f>
        <v>551</v>
      </c>
      <c r="M30" s="130">
        <v>1156755</v>
      </c>
      <c r="N30" s="14" t="s">
        <v>31</v>
      </c>
    </row>
    <row r="31" spans="1:14" ht="18.75" customHeight="1">
      <c r="A31" s="13" t="s">
        <v>32</v>
      </c>
      <c r="B31" s="128">
        <f>_xlfn.COMPOUNDVALUE(217)</f>
        <v>585</v>
      </c>
      <c r="C31" s="129">
        <v>1135953</v>
      </c>
      <c r="D31" s="128">
        <f>_xlfn.COMPOUNDVALUE(218)</f>
        <v>267</v>
      </c>
      <c r="E31" s="129">
        <v>98066</v>
      </c>
      <c r="F31" s="128">
        <f>_xlfn.COMPOUNDVALUE(219)</f>
        <v>852</v>
      </c>
      <c r="G31" s="129">
        <v>1234019</v>
      </c>
      <c r="H31" s="128">
        <f>_xlfn.COMPOUNDVALUE(220)</f>
        <v>37</v>
      </c>
      <c r="I31" s="130">
        <v>105169</v>
      </c>
      <c r="J31" s="128">
        <v>29</v>
      </c>
      <c r="K31" s="130">
        <v>6037</v>
      </c>
      <c r="L31" s="128">
        <f>_xlfn.COMPOUNDVALUE(220)</f>
        <v>893</v>
      </c>
      <c r="M31" s="130">
        <v>1134888</v>
      </c>
      <c r="N31" s="14" t="s">
        <v>32</v>
      </c>
    </row>
    <row r="32" spans="1:14" ht="18.75" customHeight="1">
      <c r="A32" s="13" t="s">
        <v>33</v>
      </c>
      <c r="B32" s="128">
        <f>_xlfn.COMPOUNDVALUE(221)</f>
        <v>268</v>
      </c>
      <c r="C32" s="129">
        <v>518220</v>
      </c>
      <c r="D32" s="128">
        <f>_xlfn.COMPOUNDVALUE(222)</f>
        <v>132</v>
      </c>
      <c r="E32" s="129">
        <v>46989</v>
      </c>
      <c r="F32" s="128">
        <f>_xlfn.COMPOUNDVALUE(223)</f>
        <v>400</v>
      </c>
      <c r="G32" s="129">
        <v>565209</v>
      </c>
      <c r="H32" s="128">
        <f>_xlfn.COMPOUNDVALUE(224)</f>
        <v>11</v>
      </c>
      <c r="I32" s="130">
        <v>17728</v>
      </c>
      <c r="J32" s="128">
        <v>41</v>
      </c>
      <c r="K32" s="130">
        <v>44336</v>
      </c>
      <c r="L32" s="128">
        <f>_xlfn.COMPOUNDVALUE(224)</f>
        <v>414</v>
      </c>
      <c r="M32" s="130">
        <v>591817</v>
      </c>
      <c r="N32" s="14" t="s">
        <v>33</v>
      </c>
    </row>
    <row r="33" spans="1:14" ht="18.75" customHeight="1">
      <c r="A33" s="13" t="s">
        <v>34</v>
      </c>
      <c r="B33" s="128">
        <f>_xlfn.COMPOUNDVALUE(225)</f>
        <v>749</v>
      </c>
      <c r="C33" s="129">
        <v>1713928</v>
      </c>
      <c r="D33" s="128">
        <f>_xlfn.COMPOUNDVALUE(226)</f>
        <v>325</v>
      </c>
      <c r="E33" s="129">
        <v>121786</v>
      </c>
      <c r="F33" s="128">
        <f>_xlfn.COMPOUNDVALUE(227)</f>
        <v>1074</v>
      </c>
      <c r="G33" s="129">
        <v>1835714</v>
      </c>
      <c r="H33" s="128">
        <f>_xlfn.COMPOUNDVALUE(228)</f>
        <v>66</v>
      </c>
      <c r="I33" s="130">
        <v>115342</v>
      </c>
      <c r="J33" s="128">
        <v>66</v>
      </c>
      <c r="K33" s="130">
        <v>-2661</v>
      </c>
      <c r="L33" s="128">
        <f>_xlfn.COMPOUNDVALUE(228)</f>
        <v>1150</v>
      </c>
      <c r="M33" s="130">
        <v>1717711</v>
      </c>
      <c r="N33" s="14" t="s">
        <v>34</v>
      </c>
    </row>
    <row r="34" spans="1:14" ht="18.75" customHeight="1">
      <c r="A34" s="13" t="s">
        <v>35</v>
      </c>
      <c r="B34" s="128">
        <f>_xlfn.COMPOUNDVALUE(229)</f>
        <v>287</v>
      </c>
      <c r="C34" s="129">
        <v>1821416</v>
      </c>
      <c r="D34" s="128">
        <f>_xlfn.COMPOUNDVALUE(230)</f>
        <v>128</v>
      </c>
      <c r="E34" s="129">
        <v>43014</v>
      </c>
      <c r="F34" s="128">
        <f>_xlfn.COMPOUNDVALUE(231)</f>
        <v>415</v>
      </c>
      <c r="G34" s="129">
        <v>1864430</v>
      </c>
      <c r="H34" s="128">
        <f>_xlfn.COMPOUNDVALUE(232)</f>
        <v>36</v>
      </c>
      <c r="I34" s="130">
        <v>27747</v>
      </c>
      <c r="J34" s="128">
        <v>28</v>
      </c>
      <c r="K34" s="130">
        <v>1506</v>
      </c>
      <c r="L34" s="128">
        <f>_xlfn.COMPOUNDVALUE(232)</f>
        <v>457</v>
      </c>
      <c r="M34" s="130">
        <v>1838188</v>
      </c>
      <c r="N34" s="14" t="s">
        <v>35</v>
      </c>
    </row>
    <row r="35" spans="1:14" s="15" customFormat="1" ht="18.75" customHeight="1">
      <c r="A35" s="13" t="s">
        <v>36</v>
      </c>
      <c r="B35" s="128">
        <f>_xlfn.COMPOUNDVALUE(233)</f>
        <v>696</v>
      </c>
      <c r="C35" s="129">
        <v>1708129</v>
      </c>
      <c r="D35" s="128">
        <f>_xlfn.COMPOUNDVALUE(234)</f>
        <v>357</v>
      </c>
      <c r="E35" s="129">
        <v>132219</v>
      </c>
      <c r="F35" s="128">
        <f>_xlfn.COMPOUNDVALUE(235)</f>
        <v>1053</v>
      </c>
      <c r="G35" s="129">
        <v>1840349</v>
      </c>
      <c r="H35" s="128">
        <f>_xlfn.COMPOUNDVALUE(236)</f>
        <v>49</v>
      </c>
      <c r="I35" s="130">
        <v>103583</v>
      </c>
      <c r="J35" s="128">
        <v>62</v>
      </c>
      <c r="K35" s="130">
        <v>22188</v>
      </c>
      <c r="L35" s="128">
        <f>_xlfn.COMPOUNDVALUE(236)</f>
        <v>1121</v>
      </c>
      <c r="M35" s="130">
        <v>1758954</v>
      </c>
      <c r="N35" s="14" t="s">
        <v>36</v>
      </c>
    </row>
    <row r="36" spans="1:14" s="21" customFormat="1" ht="18.75" customHeight="1" thickBot="1">
      <c r="A36" s="87" t="s">
        <v>37</v>
      </c>
      <c r="B36" s="131">
        <f>_xlfn.COMPOUNDVALUE(237)</f>
        <v>397</v>
      </c>
      <c r="C36" s="132">
        <v>867897</v>
      </c>
      <c r="D36" s="131">
        <f>_xlfn.COMPOUNDVALUE(238)</f>
        <v>152</v>
      </c>
      <c r="E36" s="132">
        <v>55511</v>
      </c>
      <c r="F36" s="131">
        <f>_xlfn.COMPOUNDVALUE(239)</f>
        <v>549</v>
      </c>
      <c r="G36" s="132">
        <v>923407</v>
      </c>
      <c r="H36" s="131">
        <f>_xlfn.COMPOUNDVALUE(240)</f>
        <v>45</v>
      </c>
      <c r="I36" s="133">
        <v>185684</v>
      </c>
      <c r="J36" s="131">
        <v>33</v>
      </c>
      <c r="K36" s="133">
        <v>2359</v>
      </c>
      <c r="L36" s="131">
        <f>_xlfn.COMPOUNDVALUE(240)</f>
        <v>595</v>
      </c>
      <c r="M36" s="133">
        <v>740083</v>
      </c>
      <c r="N36" s="85" t="s">
        <v>37</v>
      </c>
    </row>
    <row r="37" spans="1:14" ht="18.75" customHeight="1" thickBot="1" thickTop="1">
      <c r="A37" s="16" t="s">
        <v>44</v>
      </c>
      <c r="B37" s="134">
        <v>54639</v>
      </c>
      <c r="C37" s="135">
        <v>214936020</v>
      </c>
      <c r="D37" s="134">
        <v>22945</v>
      </c>
      <c r="E37" s="135">
        <v>8836508</v>
      </c>
      <c r="F37" s="134">
        <v>77584</v>
      </c>
      <c r="G37" s="135">
        <v>223772529</v>
      </c>
      <c r="H37" s="134">
        <v>3411</v>
      </c>
      <c r="I37" s="136">
        <v>12767214</v>
      </c>
      <c r="J37" s="134">
        <v>4564</v>
      </c>
      <c r="K37" s="136">
        <v>1394844</v>
      </c>
      <c r="L37" s="134">
        <v>81826</v>
      </c>
      <c r="M37" s="136">
        <v>212400159</v>
      </c>
      <c r="N37" s="17" t="str">
        <f>IF(A37="","",A37)</f>
        <v>合　　計</v>
      </c>
    </row>
    <row r="38" spans="1:14" s="21" customFormat="1" ht="3" customHeight="1">
      <c r="A38" s="31"/>
      <c r="B38" s="32"/>
      <c r="C38" s="32"/>
      <c r="D38" s="32"/>
      <c r="E38" s="32"/>
      <c r="F38" s="32"/>
      <c r="G38" s="32"/>
      <c r="H38" s="32"/>
      <c r="I38" s="32"/>
      <c r="J38" s="32"/>
      <c r="K38" s="32"/>
      <c r="L38" s="32"/>
      <c r="M38" s="32"/>
      <c r="N38" s="31"/>
    </row>
    <row r="39" spans="1:14" ht="13.5">
      <c r="A39" s="175" t="s">
        <v>87</v>
      </c>
      <c r="B39" s="175"/>
      <c r="C39" s="175"/>
      <c r="D39" s="175"/>
      <c r="E39" s="175"/>
      <c r="F39" s="175"/>
      <c r="G39" s="175"/>
      <c r="H39" s="175"/>
      <c r="I39" s="175"/>
      <c r="J39" s="18"/>
      <c r="K39" s="18"/>
      <c r="L39" s="2"/>
      <c r="M39" s="2"/>
      <c r="N39" s="2"/>
    </row>
  </sheetData>
  <sheetProtection/>
  <mergeCells count="11">
    <mergeCell ref="A39:I39"/>
    <mergeCell ref="A2:I2"/>
    <mergeCell ref="A3:A5"/>
    <mergeCell ref="B3:G3"/>
    <mergeCell ref="H3:I4"/>
    <mergeCell ref="N3:N5"/>
    <mergeCell ref="B4:C4"/>
    <mergeCell ref="D4:E4"/>
    <mergeCell ref="F4:G4"/>
    <mergeCell ref="J3:K4"/>
    <mergeCell ref="L3:M4"/>
  </mergeCells>
  <printOptions horizontalCentered="1"/>
  <pageMargins left="0.7874015748031497" right="0.7874015748031497" top="0.9055118110236221" bottom="0.5905511811023623" header="0.5118110236220472" footer="0.31496062992125984"/>
  <pageSetup fitToHeight="0" horizontalDpi="600" verticalDpi="600" orientation="landscape" paperSize="9" scale="75" r:id="rId1"/>
  <headerFooter alignWithMargins="0">
    <oddFooter>&amp;R札幌国税局　
消費税
（H25）</oddFooter>
  </headerFooter>
</worksheet>
</file>

<file path=xl/worksheets/sheet6.xml><?xml version="1.0" encoding="utf-8"?>
<worksheet xmlns="http://schemas.openxmlformats.org/spreadsheetml/2006/main" xmlns:r="http://schemas.openxmlformats.org/officeDocument/2006/relationships">
  <dimension ref="A1:R40"/>
  <sheetViews>
    <sheetView view="pageBreakPreview" zoomScaleSheetLayoutView="100" zoomScalePageLayoutView="0" workbookViewId="0" topLeftCell="A1">
      <selection activeCell="A1" sqref="A1"/>
    </sheetView>
  </sheetViews>
  <sheetFormatPr defaultColWidth="9.140625" defaultRowHeight="15"/>
  <cols>
    <col min="1" max="1" width="11.57421875" style="3" customWidth="1"/>
    <col min="2" max="2" width="8.57421875" style="3" customWidth="1"/>
    <col min="3" max="3" width="10.57421875" style="3" customWidth="1"/>
    <col min="4" max="4" width="8.57421875" style="3" customWidth="1"/>
    <col min="5" max="5" width="10.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8.57421875" style="3" customWidth="1"/>
    <col min="13" max="13" width="12.00390625" style="3" customWidth="1"/>
    <col min="14" max="17" width="10.00390625" style="3" customWidth="1"/>
    <col min="18" max="18" width="11.57421875" style="3" customWidth="1"/>
    <col min="19" max="16384" width="9.00390625" style="3" customWidth="1"/>
  </cols>
  <sheetData>
    <row r="1" spans="1:16" ht="13.5">
      <c r="A1" s="1" t="s">
        <v>111</v>
      </c>
      <c r="B1" s="1"/>
      <c r="C1" s="1"/>
      <c r="D1" s="1"/>
      <c r="E1" s="1"/>
      <c r="F1" s="1"/>
      <c r="G1" s="1"/>
      <c r="H1" s="1"/>
      <c r="I1" s="1"/>
      <c r="J1" s="1"/>
      <c r="K1" s="1"/>
      <c r="L1" s="2"/>
      <c r="M1" s="2"/>
      <c r="N1" s="2"/>
      <c r="O1" s="2"/>
      <c r="P1" s="2"/>
    </row>
    <row r="2" spans="1:16" ht="14.25" thickBot="1">
      <c r="A2" s="193" t="s">
        <v>41</v>
      </c>
      <c r="B2" s="193"/>
      <c r="C2" s="193"/>
      <c r="D2" s="193"/>
      <c r="E2" s="193"/>
      <c r="F2" s="193"/>
      <c r="G2" s="193"/>
      <c r="H2" s="193"/>
      <c r="I2" s="193"/>
      <c r="J2" s="18"/>
      <c r="K2" s="18"/>
      <c r="L2" s="2"/>
      <c r="M2" s="2"/>
      <c r="N2" s="2"/>
      <c r="O2" s="2"/>
      <c r="P2" s="2"/>
    </row>
    <row r="3" spans="1:18" ht="19.5" customHeight="1">
      <c r="A3" s="189" t="s">
        <v>77</v>
      </c>
      <c r="B3" s="192" t="s">
        <v>82</v>
      </c>
      <c r="C3" s="192"/>
      <c r="D3" s="192"/>
      <c r="E3" s="192"/>
      <c r="F3" s="192"/>
      <c r="G3" s="192"/>
      <c r="H3" s="192" t="s">
        <v>1</v>
      </c>
      <c r="I3" s="192"/>
      <c r="J3" s="201" t="s">
        <v>2</v>
      </c>
      <c r="K3" s="192"/>
      <c r="L3" s="192" t="s">
        <v>3</v>
      </c>
      <c r="M3" s="192"/>
      <c r="N3" s="203" t="s">
        <v>90</v>
      </c>
      <c r="O3" s="204"/>
      <c r="P3" s="204"/>
      <c r="Q3" s="205"/>
      <c r="R3" s="177" t="s">
        <v>40</v>
      </c>
    </row>
    <row r="4" spans="1:18" ht="17.25" customHeight="1">
      <c r="A4" s="190"/>
      <c r="B4" s="180" t="s">
        <v>78</v>
      </c>
      <c r="C4" s="180"/>
      <c r="D4" s="180" t="s">
        <v>5</v>
      </c>
      <c r="E4" s="180"/>
      <c r="F4" s="180" t="s">
        <v>6</v>
      </c>
      <c r="G4" s="180"/>
      <c r="H4" s="180"/>
      <c r="I4" s="180"/>
      <c r="J4" s="180"/>
      <c r="K4" s="180"/>
      <c r="L4" s="180"/>
      <c r="M4" s="180"/>
      <c r="N4" s="194" t="s">
        <v>42</v>
      </c>
      <c r="O4" s="196" t="s">
        <v>91</v>
      </c>
      <c r="P4" s="198" t="s">
        <v>92</v>
      </c>
      <c r="Q4" s="187" t="s">
        <v>43</v>
      </c>
      <c r="R4" s="178"/>
    </row>
    <row r="5" spans="1:18" ht="28.5" customHeight="1">
      <c r="A5" s="191"/>
      <c r="B5" s="86" t="s">
        <v>79</v>
      </c>
      <c r="C5" s="26" t="s">
        <v>80</v>
      </c>
      <c r="D5" s="86" t="s">
        <v>79</v>
      </c>
      <c r="E5" s="26" t="s">
        <v>80</v>
      </c>
      <c r="F5" s="86" t="s">
        <v>79</v>
      </c>
      <c r="G5" s="26" t="s">
        <v>81</v>
      </c>
      <c r="H5" s="86" t="s">
        <v>79</v>
      </c>
      <c r="I5" s="26" t="s">
        <v>83</v>
      </c>
      <c r="J5" s="86" t="s">
        <v>79</v>
      </c>
      <c r="K5" s="26" t="s">
        <v>84</v>
      </c>
      <c r="L5" s="86" t="s">
        <v>79</v>
      </c>
      <c r="M5" s="22" t="s">
        <v>89</v>
      </c>
      <c r="N5" s="195"/>
      <c r="O5" s="197"/>
      <c r="P5" s="199"/>
      <c r="Q5" s="200"/>
      <c r="R5" s="179"/>
    </row>
    <row r="6" spans="1:18" s="20" customFormat="1" ht="10.5">
      <c r="A6" s="5"/>
      <c r="B6" s="6" t="s">
        <v>7</v>
      </c>
      <c r="C6" s="7" t="s">
        <v>8</v>
      </c>
      <c r="D6" s="6" t="s">
        <v>7</v>
      </c>
      <c r="E6" s="7" t="s">
        <v>8</v>
      </c>
      <c r="F6" s="6" t="s">
        <v>7</v>
      </c>
      <c r="G6" s="7" t="s">
        <v>8</v>
      </c>
      <c r="H6" s="6" t="s">
        <v>7</v>
      </c>
      <c r="I6" s="7" t="s">
        <v>8</v>
      </c>
      <c r="J6" s="6" t="s">
        <v>7</v>
      </c>
      <c r="K6" s="7" t="s">
        <v>8</v>
      </c>
      <c r="L6" s="6" t="s">
        <v>7</v>
      </c>
      <c r="M6" s="7" t="s">
        <v>8</v>
      </c>
      <c r="N6" s="6" t="s">
        <v>7</v>
      </c>
      <c r="O6" s="23" t="s">
        <v>7</v>
      </c>
      <c r="P6" s="23" t="s">
        <v>7</v>
      </c>
      <c r="Q6" s="24" t="s">
        <v>7</v>
      </c>
      <c r="R6" s="9"/>
    </row>
    <row r="7" spans="1:18" ht="18.75" customHeight="1">
      <c r="A7" s="11" t="s">
        <v>9</v>
      </c>
      <c r="B7" s="125">
        <f>_xlfn.COMPOUNDVALUE(241)</f>
        <v>3545</v>
      </c>
      <c r="C7" s="126">
        <v>30415563</v>
      </c>
      <c r="D7" s="125">
        <f>_xlfn.COMPOUNDVALUE(242)</f>
        <v>1171</v>
      </c>
      <c r="E7" s="126">
        <v>477286</v>
      </c>
      <c r="F7" s="125">
        <f>_xlfn.COMPOUNDVALUE(243)</f>
        <v>4716</v>
      </c>
      <c r="G7" s="126">
        <v>30892849</v>
      </c>
      <c r="H7" s="125">
        <f>_xlfn.COMPOUNDVALUE(244)</f>
        <v>239</v>
      </c>
      <c r="I7" s="127">
        <v>2805826</v>
      </c>
      <c r="J7" s="125">
        <v>343</v>
      </c>
      <c r="K7" s="127">
        <v>45236</v>
      </c>
      <c r="L7" s="125">
        <f>_xlfn.COMPOUNDVALUE(244)</f>
        <v>5033</v>
      </c>
      <c r="M7" s="127">
        <v>28132259</v>
      </c>
      <c r="N7" s="125">
        <v>5125</v>
      </c>
      <c r="O7" s="137">
        <v>173</v>
      </c>
      <c r="P7" s="137">
        <v>51</v>
      </c>
      <c r="Q7" s="138">
        <v>5349</v>
      </c>
      <c r="R7" s="12" t="str">
        <f aca="true" t="shared" si="0" ref="R7:R37">IF(A7="","",A7)</f>
        <v>札幌中</v>
      </c>
    </row>
    <row r="8" spans="1:18" ht="18.75" customHeight="1">
      <c r="A8" s="11" t="s">
        <v>10</v>
      </c>
      <c r="B8" s="125">
        <f>_xlfn.COMPOUNDVALUE(245)</f>
        <v>7240</v>
      </c>
      <c r="C8" s="126">
        <v>28316686</v>
      </c>
      <c r="D8" s="125">
        <f>_xlfn.COMPOUNDVALUE(246)</f>
        <v>4544</v>
      </c>
      <c r="E8" s="126">
        <v>1511341</v>
      </c>
      <c r="F8" s="125">
        <f>_xlfn.COMPOUNDVALUE(247)</f>
        <v>11784</v>
      </c>
      <c r="G8" s="126">
        <v>29828027</v>
      </c>
      <c r="H8" s="125">
        <f>_xlfn.COMPOUNDVALUE(248)</f>
        <v>444</v>
      </c>
      <c r="I8" s="127">
        <v>1305525</v>
      </c>
      <c r="J8" s="125">
        <v>705</v>
      </c>
      <c r="K8" s="127">
        <v>170645</v>
      </c>
      <c r="L8" s="125">
        <f>_xlfn.COMPOUNDVALUE(248)</f>
        <v>12413</v>
      </c>
      <c r="M8" s="127">
        <v>28693147</v>
      </c>
      <c r="N8" s="125">
        <v>13038</v>
      </c>
      <c r="O8" s="137">
        <v>280</v>
      </c>
      <c r="P8" s="137">
        <v>50</v>
      </c>
      <c r="Q8" s="138">
        <v>13368</v>
      </c>
      <c r="R8" s="14" t="str">
        <f t="shared" si="0"/>
        <v>札幌北</v>
      </c>
    </row>
    <row r="9" spans="1:18" ht="18.75" customHeight="1">
      <c r="A9" s="11" t="s">
        <v>11</v>
      </c>
      <c r="B9" s="125">
        <f>_xlfn.COMPOUNDVALUE(249)</f>
        <v>5873</v>
      </c>
      <c r="C9" s="126">
        <v>17588466</v>
      </c>
      <c r="D9" s="125">
        <f>_xlfn.COMPOUNDVALUE(250)</f>
        <v>3766</v>
      </c>
      <c r="E9" s="126">
        <v>1277915</v>
      </c>
      <c r="F9" s="125">
        <f>_xlfn.COMPOUNDVALUE(251)</f>
        <v>9639</v>
      </c>
      <c r="G9" s="126">
        <v>18866380</v>
      </c>
      <c r="H9" s="125">
        <f>_xlfn.COMPOUNDVALUE(252)</f>
        <v>341</v>
      </c>
      <c r="I9" s="127">
        <v>402392</v>
      </c>
      <c r="J9" s="125">
        <v>776</v>
      </c>
      <c r="K9" s="127">
        <v>113522</v>
      </c>
      <c r="L9" s="125">
        <f>_xlfn.COMPOUNDVALUE(252)</f>
        <v>10243</v>
      </c>
      <c r="M9" s="127">
        <v>18577511</v>
      </c>
      <c r="N9" s="125">
        <v>10561</v>
      </c>
      <c r="O9" s="137">
        <v>238</v>
      </c>
      <c r="P9" s="137">
        <v>28</v>
      </c>
      <c r="Q9" s="138">
        <v>10827</v>
      </c>
      <c r="R9" s="14" t="str">
        <f t="shared" si="0"/>
        <v>札幌南</v>
      </c>
    </row>
    <row r="10" spans="1:18" ht="18.75" customHeight="1">
      <c r="A10" s="11" t="s">
        <v>12</v>
      </c>
      <c r="B10" s="125">
        <f>_xlfn.COMPOUNDVALUE(253)</f>
        <v>6376</v>
      </c>
      <c r="C10" s="126">
        <v>24071843</v>
      </c>
      <c r="D10" s="125">
        <f>_xlfn.COMPOUNDVALUE(254)</f>
        <v>3504</v>
      </c>
      <c r="E10" s="126">
        <v>1287399</v>
      </c>
      <c r="F10" s="125">
        <f>_xlfn.COMPOUNDVALUE(255)</f>
        <v>9880</v>
      </c>
      <c r="G10" s="126">
        <v>25359241</v>
      </c>
      <c r="H10" s="125">
        <f>_xlfn.COMPOUNDVALUE(256)</f>
        <v>454</v>
      </c>
      <c r="I10" s="127">
        <v>1994157</v>
      </c>
      <c r="J10" s="125">
        <v>723</v>
      </c>
      <c r="K10" s="127">
        <v>64670</v>
      </c>
      <c r="L10" s="125">
        <f>_xlfn.COMPOUNDVALUE(256)</f>
        <v>10501</v>
      </c>
      <c r="M10" s="127">
        <v>23429754</v>
      </c>
      <c r="N10" s="125">
        <v>10474</v>
      </c>
      <c r="O10" s="137">
        <v>310</v>
      </c>
      <c r="P10" s="137">
        <v>45</v>
      </c>
      <c r="Q10" s="138">
        <v>10829</v>
      </c>
      <c r="R10" s="14" t="str">
        <f t="shared" si="0"/>
        <v>札幌西</v>
      </c>
    </row>
    <row r="11" spans="1:18" ht="18.75" customHeight="1">
      <c r="A11" s="11" t="s">
        <v>13</v>
      </c>
      <c r="B11" s="125">
        <f>_xlfn.COMPOUNDVALUE(257)</f>
        <v>4710</v>
      </c>
      <c r="C11" s="126">
        <v>19384186</v>
      </c>
      <c r="D11" s="125">
        <f>_xlfn.COMPOUNDVALUE(258)</f>
        <v>2618</v>
      </c>
      <c r="E11" s="126">
        <v>892923</v>
      </c>
      <c r="F11" s="125">
        <f>_xlfn.COMPOUNDVALUE(259)</f>
        <v>7328</v>
      </c>
      <c r="G11" s="126">
        <v>20277109</v>
      </c>
      <c r="H11" s="125">
        <f>_xlfn.COMPOUNDVALUE(260)</f>
        <v>224</v>
      </c>
      <c r="I11" s="127">
        <v>459905</v>
      </c>
      <c r="J11" s="125">
        <v>478</v>
      </c>
      <c r="K11" s="127">
        <v>45347</v>
      </c>
      <c r="L11" s="125">
        <f>_xlfn.COMPOUNDVALUE(260)</f>
        <v>7664</v>
      </c>
      <c r="M11" s="127">
        <v>19862551</v>
      </c>
      <c r="N11" s="125">
        <v>7901</v>
      </c>
      <c r="O11" s="137">
        <v>157</v>
      </c>
      <c r="P11" s="137">
        <v>27</v>
      </c>
      <c r="Q11" s="138">
        <v>8085</v>
      </c>
      <c r="R11" s="14" t="str">
        <f t="shared" si="0"/>
        <v>札幌東</v>
      </c>
    </row>
    <row r="12" spans="1:18" ht="18.75" customHeight="1">
      <c r="A12" s="11" t="s">
        <v>112</v>
      </c>
      <c r="B12" s="125">
        <f>_xlfn.COMPOUNDVALUE(261)</f>
        <v>4509</v>
      </c>
      <c r="C12" s="126">
        <v>10895607</v>
      </c>
      <c r="D12" s="125">
        <f>_xlfn.COMPOUNDVALUE(262)</f>
        <v>4138</v>
      </c>
      <c r="E12" s="126">
        <v>1236342</v>
      </c>
      <c r="F12" s="125">
        <f>_xlfn.COMPOUNDVALUE(263)</f>
        <v>8647</v>
      </c>
      <c r="G12" s="126">
        <v>12131949</v>
      </c>
      <c r="H12" s="125">
        <f>_xlfn.COMPOUNDVALUE(264)</f>
        <v>192</v>
      </c>
      <c r="I12" s="127">
        <v>480742</v>
      </c>
      <c r="J12" s="125">
        <v>481</v>
      </c>
      <c r="K12" s="127">
        <v>718411</v>
      </c>
      <c r="L12" s="125">
        <f>_xlfn.COMPOUNDVALUE(264)</f>
        <v>8973</v>
      </c>
      <c r="M12" s="127">
        <v>12369619</v>
      </c>
      <c r="N12" s="125">
        <v>9026</v>
      </c>
      <c r="O12" s="137">
        <v>167</v>
      </c>
      <c r="P12" s="137">
        <v>13</v>
      </c>
      <c r="Q12" s="138">
        <v>9206</v>
      </c>
      <c r="R12" s="14" t="str">
        <f t="shared" si="0"/>
        <v>函館</v>
      </c>
    </row>
    <row r="13" spans="1:18" ht="18.75" customHeight="1">
      <c r="A13" s="11" t="s">
        <v>14</v>
      </c>
      <c r="B13" s="125">
        <f>_xlfn.COMPOUNDVALUE(265)</f>
        <v>1553</v>
      </c>
      <c r="C13" s="126">
        <v>5034069</v>
      </c>
      <c r="D13" s="125">
        <f>_xlfn.COMPOUNDVALUE(266)</f>
        <v>963</v>
      </c>
      <c r="E13" s="126">
        <v>275551</v>
      </c>
      <c r="F13" s="125">
        <f>_xlfn.COMPOUNDVALUE(267)</f>
        <v>2516</v>
      </c>
      <c r="G13" s="126">
        <v>5309619</v>
      </c>
      <c r="H13" s="125">
        <f>_xlfn.COMPOUNDVALUE(268)</f>
        <v>119</v>
      </c>
      <c r="I13" s="127">
        <v>293795</v>
      </c>
      <c r="J13" s="125">
        <v>169</v>
      </c>
      <c r="K13" s="127">
        <v>-5038</v>
      </c>
      <c r="L13" s="125">
        <f>_xlfn.COMPOUNDVALUE(268)</f>
        <v>2683</v>
      </c>
      <c r="M13" s="127">
        <v>5010786</v>
      </c>
      <c r="N13" s="125">
        <v>2648</v>
      </c>
      <c r="O13" s="137">
        <v>84</v>
      </c>
      <c r="P13" s="137">
        <v>4</v>
      </c>
      <c r="Q13" s="138">
        <v>2736</v>
      </c>
      <c r="R13" s="14" t="str">
        <f t="shared" si="0"/>
        <v>小樽</v>
      </c>
    </row>
    <row r="14" spans="1:18" ht="18.75" customHeight="1">
      <c r="A14" s="11" t="s">
        <v>15</v>
      </c>
      <c r="B14" s="125">
        <f>_xlfn.COMPOUNDVALUE(269)</f>
        <v>1662</v>
      </c>
      <c r="C14" s="126">
        <v>4703765</v>
      </c>
      <c r="D14" s="125">
        <f>_xlfn.COMPOUNDVALUE(270)</f>
        <v>1379</v>
      </c>
      <c r="E14" s="126">
        <v>438397</v>
      </c>
      <c r="F14" s="125">
        <f>_xlfn.COMPOUNDVALUE(271)</f>
        <v>3041</v>
      </c>
      <c r="G14" s="126">
        <v>5142162</v>
      </c>
      <c r="H14" s="125">
        <f>_xlfn.COMPOUNDVALUE(272)</f>
        <v>73</v>
      </c>
      <c r="I14" s="127">
        <v>203963</v>
      </c>
      <c r="J14" s="125">
        <v>223</v>
      </c>
      <c r="K14" s="127">
        <v>21257</v>
      </c>
      <c r="L14" s="125">
        <f>_xlfn.COMPOUNDVALUE(272)</f>
        <v>3157</v>
      </c>
      <c r="M14" s="127">
        <v>4959456</v>
      </c>
      <c r="N14" s="125">
        <v>3152</v>
      </c>
      <c r="O14" s="137">
        <v>81</v>
      </c>
      <c r="P14" s="137">
        <v>6</v>
      </c>
      <c r="Q14" s="138">
        <v>3239</v>
      </c>
      <c r="R14" s="14" t="str">
        <f t="shared" si="0"/>
        <v>旭川中</v>
      </c>
    </row>
    <row r="15" spans="1:18" ht="18.75" customHeight="1">
      <c r="A15" s="11" t="s">
        <v>16</v>
      </c>
      <c r="B15" s="125">
        <f>_xlfn.COMPOUNDVALUE(273)</f>
        <v>3046</v>
      </c>
      <c r="C15" s="126">
        <v>7001788</v>
      </c>
      <c r="D15" s="125">
        <f>_xlfn.COMPOUNDVALUE(274)</f>
        <v>2633</v>
      </c>
      <c r="E15" s="126">
        <v>800900</v>
      </c>
      <c r="F15" s="125">
        <f>_xlfn.COMPOUNDVALUE(275)</f>
        <v>5679</v>
      </c>
      <c r="G15" s="126">
        <v>7802688</v>
      </c>
      <c r="H15" s="125">
        <f>_xlfn.COMPOUNDVALUE(276)</f>
        <v>177</v>
      </c>
      <c r="I15" s="127">
        <v>162029</v>
      </c>
      <c r="J15" s="125">
        <v>318</v>
      </c>
      <c r="K15" s="127">
        <v>29502</v>
      </c>
      <c r="L15" s="125">
        <f>_xlfn.COMPOUNDVALUE(276)</f>
        <v>5920</v>
      </c>
      <c r="M15" s="127">
        <v>7670161</v>
      </c>
      <c r="N15" s="125">
        <v>6061</v>
      </c>
      <c r="O15" s="137">
        <v>110</v>
      </c>
      <c r="P15" s="137">
        <v>7</v>
      </c>
      <c r="Q15" s="138">
        <v>6178</v>
      </c>
      <c r="R15" s="14" t="str">
        <f t="shared" si="0"/>
        <v>旭川東</v>
      </c>
    </row>
    <row r="16" spans="1:18" ht="18.75" customHeight="1">
      <c r="A16" s="11" t="s">
        <v>17</v>
      </c>
      <c r="B16" s="125">
        <f>_xlfn.COMPOUNDVALUE(277)</f>
        <v>2028</v>
      </c>
      <c r="C16" s="126">
        <v>6401461</v>
      </c>
      <c r="D16" s="125">
        <f>_xlfn.COMPOUNDVALUE(278)</f>
        <v>1771</v>
      </c>
      <c r="E16" s="126">
        <v>544278</v>
      </c>
      <c r="F16" s="125">
        <f>_xlfn.COMPOUNDVALUE(279)</f>
        <v>3799</v>
      </c>
      <c r="G16" s="126">
        <v>6945740</v>
      </c>
      <c r="H16" s="125">
        <f>_xlfn.COMPOUNDVALUE(280)</f>
        <v>108</v>
      </c>
      <c r="I16" s="127">
        <v>304958</v>
      </c>
      <c r="J16" s="125">
        <v>236</v>
      </c>
      <c r="K16" s="127">
        <v>43256</v>
      </c>
      <c r="L16" s="125">
        <f>_xlfn.COMPOUNDVALUE(280)</f>
        <v>3970</v>
      </c>
      <c r="M16" s="127">
        <v>6684038</v>
      </c>
      <c r="N16" s="125">
        <v>3974</v>
      </c>
      <c r="O16" s="137">
        <v>89</v>
      </c>
      <c r="P16" s="137">
        <v>4</v>
      </c>
      <c r="Q16" s="138">
        <v>4067</v>
      </c>
      <c r="R16" s="14" t="str">
        <f t="shared" si="0"/>
        <v>室蘭</v>
      </c>
    </row>
    <row r="17" spans="1:18" ht="18.75" customHeight="1">
      <c r="A17" s="11" t="s">
        <v>18</v>
      </c>
      <c r="B17" s="125">
        <f>_xlfn.COMPOUNDVALUE(281)</f>
        <v>3506</v>
      </c>
      <c r="C17" s="126">
        <v>7753849</v>
      </c>
      <c r="D17" s="125">
        <f>_xlfn.COMPOUNDVALUE(282)</f>
        <v>2376</v>
      </c>
      <c r="E17" s="126">
        <v>765598</v>
      </c>
      <c r="F17" s="125">
        <f>_xlfn.COMPOUNDVALUE(283)</f>
        <v>5882</v>
      </c>
      <c r="G17" s="126">
        <v>8519448</v>
      </c>
      <c r="H17" s="125">
        <f>_xlfn.COMPOUNDVALUE(284)</f>
        <v>218</v>
      </c>
      <c r="I17" s="127">
        <v>779442</v>
      </c>
      <c r="J17" s="125">
        <v>368</v>
      </c>
      <c r="K17" s="127">
        <v>51754</v>
      </c>
      <c r="L17" s="125">
        <f>_xlfn.COMPOUNDVALUE(284)</f>
        <v>6202</v>
      </c>
      <c r="M17" s="127">
        <v>7791759</v>
      </c>
      <c r="N17" s="125">
        <v>6273</v>
      </c>
      <c r="O17" s="137">
        <v>147</v>
      </c>
      <c r="P17" s="137">
        <v>14</v>
      </c>
      <c r="Q17" s="138">
        <v>6434</v>
      </c>
      <c r="R17" s="14" t="str">
        <f t="shared" si="0"/>
        <v>釧路</v>
      </c>
    </row>
    <row r="18" spans="1:18" ht="18.75" customHeight="1">
      <c r="A18" s="11" t="s">
        <v>19</v>
      </c>
      <c r="B18" s="125">
        <f>_xlfn.COMPOUNDVALUE(285)</f>
        <v>5958</v>
      </c>
      <c r="C18" s="126">
        <v>13406465</v>
      </c>
      <c r="D18" s="125">
        <f>_xlfn.COMPOUNDVALUE(286)</f>
        <v>3628</v>
      </c>
      <c r="E18" s="126">
        <v>1208036</v>
      </c>
      <c r="F18" s="125">
        <f>_xlfn.COMPOUNDVALUE(287)</f>
        <v>9586</v>
      </c>
      <c r="G18" s="126">
        <v>14614501</v>
      </c>
      <c r="H18" s="125">
        <f>_xlfn.COMPOUNDVALUE(288)</f>
        <v>947</v>
      </c>
      <c r="I18" s="127">
        <v>1428010</v>
      </c>
      <c r="J18" s="125">
        <v>564</v>
      </c>
      <c r="K18" s="127">
        <v>68674</v>
      </c>
      <c r="L18" s="125">
        <f>_xlfn.COMPOUNDVALUE(288)</f>
        <v>10629</v>
      </c>
      <c r="M18" s="127">
        <v>13255165</v>
      </c>
      <c r="N18" s="125">
        <v>10437</v>
      </c>
      <c r="O18" s="137">
        <v>343</v>
      </c>
      <c r="P18" s="137">
        <v>16</v>
      </c>
      <c r="Q18" s="138">
        <v>10796</v>
      </c>
      <c r="R18" s="14" t="str">
        <f t="shared" si="0"/>
        <v>帯広</v>
      </c>
    </row>
    <row r="19" spans="1:18" ht="18.75" customHeight="1">
      <c r="A19" s="11" t="s">
        <v>20</v>
      </c>
      <c r="B19" s="125">
        <f>_xlfn.COMPOUNDVALUE(289)</f>
        <v>2171</v>
      </c>
      <c r="C19" s="126">
        <v>4634923</v>
      </c>
      <c r="D19" s="125">
        <f>_xlfn.COMPOUNDVALUE(290)</f>
        <v>1911</v>
      </c>
      <c r="E19" s="126">
        <v>559682</v>
      </c>
      <c r="F19" s="125">
        <f>_xlfn.COMPOUNDVALUE(291)</f>
        <v>4082</v>
      </c>
      <c r="G19" s="126">
        <v>5194605</v>
      </c>
      <c r="H19" s="125">
        <f>_xlfn.COMPOUNDVALUE(292)</f>
        <v>222</v>
      </c>
      <c r="I19" s="127">
        <v>204247</v>
      </c>
      <c r="J19" s="125">
        <v>196</v>
      </c>
      <c r="K19" s="127">
        <v>30868</v>
      </c>
      <c r="L19" s="125">
        <f>_xlfn.COMPOUNDVALUE(292)</f>
        <v>4351</v>
      </c>
      <c r="M19" s="127">
        <v>5021225</v>
      </c>
      <c r="N19" s="125">
        <v>4234</v>
      </c>
      <c r="O19" s="137">
        <v>88</v>
      </c>
      <c r="P19" s="137">
        <v>11</v>
      </c>
      <c r="Q19" s="138">
        <v>4333</v>
      </c>
      <c r="R19" s="14" t="str">
        <f t="shared" si="0"/>
        <v>北見</v>
      </c>
    </row>
    <row r="20" spans="1:18" ht="18.75" customHeight="1">
      <c r="A20" s="11" t="s">
        <v>21</v>
      </c>
      <c r="B20" s="125">
        <f>_xlfn.COMPOUNDVALUE(293)</f>
        <v>1866</v>
      </c>
      <c r="C20" s="126">
        <v>3744308</v>
      </c>
      <c r="D20" s="125">
        <f>_xlfn.COMPOUNDVALUE(294)</f>
        <v>2854</v>
      </c>
      <c r="E20" s="126">
        <v>747898</v>
      </c>
      <c r="F20" s="125">
        <f>_xlfn.COMPOUNDVALUE(295)</f>
        <v>4720</v>
      </c>
      <c r="G20" s="126">
        <v>4492206</v>
      </c>
      <c r="H20" s="125">
        <f>_xlfn.COMPOUNDVALUE(296)</f>
        <v>212</v>
      </c>
      <c r="I20" s="127">
        <v>257504</v>
      </c>
      <c r="J20" s="125">
        <v>195</v>
      </c>
      <c r="K20" s="127">
        <v>27686</v>
      </c>
      <c r="L20" s="125">
        <f>_xlfn.COMPOUNDVALUE(296)</f>
        <v>4951</v>
      </c>
      <c r="M20" s="127">
        <v>4262388</v>
      </c>
      <c r="N20" s="125">
        <v>5118</v>
      </c>
      <c r="O20" s="137">
        <v>119</v>
      </c>
      <c r="P20" s="137">
        <v>2</v>
      </c>
      <c r="Q20" s="138">
        <v>5239</v>
      </c>
      <c r="R20" s="14" t="str">
        <f t="shared" si="0"/>
        <v>岩見沢</v>
      </c>
    </row>
    <row r="21" spans="1:18" ht="18.75" customHeight="1">
      <c r="A21" s="11" t="s">
        <v>22</v>
      </c>
      <c r="B21" s="125">
        <f>_xlfn.COMPOUNDVALUE(297)</f>
        <v>1827</v>
      </c>
      <c r="C21" s="126">
        <v>3773209</v>
      </c>
      <c r="D21" s="125">
        <f>_xlfn.COMPOUNDVALUE(298)</f>
        <v>1548</v>
      </c>
      <c r="E21" s="126">
        <v>439965</v>
      </c>
      <c r="F21" s="125">
        <f>_xlfn.COMPOUNDVALUE(299)</f>
        <v>3375</v>
      </c>
      <c r="G21" s="126">
        <v>4213174</v>
      </c>
      <c r="H21" s="125">
        <f>_xlfn.COMPOUNDVALUE(300)</f>
        <v>766</v>
      </c>
      <c r="I21" s="127">
        <v>282271</v>
      </c>
      <c r="J21" s="125">
        <v>130</v>
      </c>
      <c r="K21" s="127">
        <v>26961</v>
      </c>
      <c r="L21" s="125">
        <f>_xlfn.COMPOUNDVALUE(300)</f>
        <v>4203</v>
      </c>
      <c r="M21" s="127">
        <v>3957864</v>
      </c>
      <c r="N21" s="125">
        <v>4107</v>
      </c>
      <c r="O21" s="137">
        <v>96</v>
      </c>
      <c r="P21" s="137">
        <v>1</v>
      </c>
      <c r="Q21" s="138">
        <v>4204</v>
      </c>
      <c r="R21" s="14" t="str">
        <f t="shared" si="0"/>
        <v>網走</v>
      </c>
    </row>
    <row r="22" spans="1:18" ht="18.75" customHeight="1">
      <c r="A22" s="11" t="s">
        <v>23</v>
      </c>
      <c r="B22" s="125">
        <f>_xlfn.COMPOUNDVALUE(301)</f>
        <v>607</v>
      </c>
      <c r="C22" s="126">
        <v>1225103</v>
      </c>
      <c r="D22" s="125">
        <f>_xlfn.COMPOUNDVALUE(302)</f>
        <v>725</v>
      </c>
      <c r="E22" s="126">
        <v>203890</v>
      </c>
      <c r="F22" s="125">
        <f>_xlfn.COMPOUNDVALUE(303)</f>
        <v>1332</v>
      </c>
      <c r="G22" s="126">
        <v>1428992</v>
      </c>
      <c r="H22" s="125">
        <f>_xlfn.COMPOUNDVALUE(304)</f>
        <v>41</v>
      </c>
      <c r="I22" s="127">
        <v>77111</v>
      </c>
      <c r="J22" s="125">
        <v>71</v>
      </c>
      <c r="K22" s="127">
        <v>4701</v>
      </c>
      <c r="L22" s="125">
        <f>_xlfn.COMPOUNDVALUE(304)</f>
        <v>1382</v>
      </c>
      <c r="M22" s="127">
        <v>1356583</v>
      </c>
      <c r="N22" s="125">
        <v>1402</v>
      </c>
      <c r="O22" s="137">
        <v>26</v>
      </c>
      <c r="P22" s="137">
        <v>0</v>
      </c>
      <c r="Q22" s="138">
        <v>1428</v>
      </c>
      <c r="R22" s="14" t="str">
        <f t="shared" si="0"/>
        <v>留萌</v>
      </c>
    </row>
    <row r="23" spans="1:18" ht="18.75" customHeight="1">
      <c r="A23" s="11" t="s">
        <v>24</v>
      </c>
      <c r="B23" s="125">
        <f>_xlfn.COMPOUNDVALUE(305)</f>
        <v>2830</v>
      </c>
      <c r="C23" s="126">
        <v>9310550</v>
      </c>
      <c r="D23" s="125">
        <f>_xlfn.COMPOUNDVALUE(306)</f>
        <v>2361</v>
      </c>
      <c r="E23" s="126">
        <v>747377</v>
      </c>
      <c r="F23" s="125">
        <f>_xlfn.COMPOUNDVALUE(307)</f>
        <v>5191</v>
      </c>
      <c r="G23" s="126">
        <v>10057927</v>
      </c>
      <c r="H23" s="125">
        <f>_xlfn.COMPOUNDVALUE(308)</f>
        <v>220</v>
      </c>
      <c r="I23" s="127">
        <v>714444</v>
      </c>
      <c r="J23" s="125">
        <v>272</v>
      </c>
      <c r="K23" s="127">
        <v>25637</v>
      </c>
      <c r="L23" s="125">
        <f>_xlfn.COMPOUNDVALUE(308)</f>
        <v>5504</v>
      </c>
      <c r="M23" s="127">
        <v>9369120</v>
      </c>
      <c r="N23" s="125">
        <v>5519</v>
      </c>
      <c r="O23" s="137">
        <v>139</v>
      </c>
      <c r="P23" s="137">
        <v>19</v>
      </c>
      <c r="Q23" s="138">
        <v>5677</v>
      </c>
      <c r="R23" s="14" t="str">
        <f t="shared" si="0"/>
        <v>苫小牧</v>
      </c>
    </row>
    <row r="24" spans="1:18" ht="18.75" customHeight="1">
      <c r="A24" s="13" t="s">
        <v>25</v>
      </c>
      <c r="B24" s="128">
        <f>_xlfn.COMPOUNDVALUE(309)</f>
        <v>1599</v>
      </c>
      <c r="C24" s="129">
        <v>3117287</v>
      </c>
      <c r="D24" s="128">
        <f>_xlfn.COMPOUNDVALUE(310)</f>
        <v>1915</v>
      </c>
      <c r="E24" s="129">
        <v>723664</v>
      </c>
      <c r="F24" s="128">
        <f>_xlfn.COMPOUNDVALUE(311)</f>
        <v>3514</v>
      </c>
      <c r="G24" s="129">
        <v>3840951</v>
      </c>
      <c r="H24" s="128">
        <f>_xlfn.COMPOUNDVALUE(312)</f>
        <v>139</v>
      </c>
      <c r="I24" s="130">
        <v>192558</v>
      </c>
      <c r="J24" s="128">
        <v>220</v>
      </c>
      <c r="K24" s="130">
        <v>88335</v>
      </c>
      <c r="L24" s="128">
        <f>_xlfn.COMPOUNDVALUE(312)</f>
        <v>3689</v>
      </c>
      <c r="M24" s="130">
        <v>3736728</v>
      </c>
      <c r="N24" s="125">
        <v>3544</v>
      </c>
      <c r="O24" s="137">
        <v>107</v>
      </c>
      <c r="P24" s="137">
        <v>2</v>
      </c>
      <c r="Q24" s="138">
        <v>3653</v>
      </c>
      <c r="R24" s="14" t="str">
        <f t="shared" si="0"/>
        <v>稚内</v>
      </c>
    </row>
    <row r="25" spans="1:18" ht="18.75" customHeight="1">
      <c r="A25" s="13" t="s">
        <v>26</v>
      </c>
      <c r="B25" s="128">
        <f>_xlfn.COMPOUNDVALUE(313)</f>
        <v>1424</v>
      </c>
      <c r="C25" s="129">
        <v>2579329</v>
      </c>
      <c r="D25" s="128">
        <f>_xlfn.COMPOUNDVALUE(314)</f>
        <v>1140</v>
      </c>
      <c r="E25" s="129">
        <v>437519</v>
      </c>
      <c r="F25" s="128">
        <f>_xlfn.COMPOUNDVALUE(315)</f>
        <v>2564</v>
      </c>
      <c r="G25" s="129">
        <v>3016848</v>
      </c>
      <c r="H25" s="128">
        <f>_xlfn.COMPOUNDVALUE(316)</f>
        <v>131</v>
      </c>
      <c r="I25" s="130">
        <v>193337</v>
      </c>
      <c r="J25" s="128">
        <v>158</v>
      </c>
      <c r="K25" s="130">
        <v>11287</v>
      </c>
      <c r="L25" s="128">
        <f>_xlfn.COMPOUNDVALUE(316)</f>
        <v>2740</v>
      </c>
      <c r="M25" s="130">
        <v>2834798</v>
      </c>
      <c r="N25" s="125">
        <v>2584</v>
      </c>
      <c r="O25" s="137">
        <v>92</v>
      </c>
      <c r="P25" s="137">
        <v>3</v>
      </c>
      <c r="Q25" s="138">
        <v>2679</v>
      </c>
      <c r="R25" s="14" t="str">
        <f t="shared" si="0"/>
        <v>紋別</v>
      </c>
    </row>
    <row r="26" spans="1:18" ht="18.75" customHeight="1">
      <c r="A26" s="13" t="s">
        <v>27</v>
      </c>
      <c r="B26" s="128">
        <f>_xlfn.COMPOUNDVALUE(317)</f>
        <v>971</v>
      </c>
      <c r="C26" s="129">
        <v>1689470</v>
      </c>
      <c r="D26" s="128">
        <f>_xlfn.COMPOUNDVALUE(318)</f>
        <v>1069</v>
      </c>
      <c r="E26" s="129">
        <v>261650</v>
      </c>
      <c r="F26" s="128">
        <f>_xlfn.COMPOUNDVALUE(319)</f>
        <v>2040</v>
      </c>
      <c r="G26" s="129">
        <v>1951120</v>
      </c>
      <c r="H26" s="128">
        <f>_xlfn.COMPOUNDVALUE(320)</f>
        <v>185</v>
      </c>
      <c r="I26" s="130">
        <v>159312</v>
      </c>
      <c r="J26" s="128">
        <v>76</v>
      </c>
      <c r="K26" s="130">
        <v>-3992</v>
      </c>
      <c r="L26" s="128">
        <f>_xlfn.COMPOUNDVALUE(320)</f>
        <v>2237</v>
      </c>
      <c r="M26" s="130">
        <v>1787816</v>
      </c>
      <c r="N26" s="125">
        <v>2226</v>
      </c>
      <c r="O26" s="137">
        <v>52</v>
      </c>
      <c r="P26" s="137">
        <v>2</v>
      </c>
      <c r="Q26" s="138">
        <v>2280</v>
      </c>
      <c r="R26" s="14" t="str">
        <f t="shared" si="0"/>
        <v>名寄</v>
      </c>
    </row>
    <row r="27" spans="1:18" ht="18.75" customHeight="1">
      <c r="A27" s="13" t="s">
        <v>28</v>
      </c>
      <c r="B27" s="128">
        <f>_xlfn.COMPOUNDVALUE(321)</f>
        <v>2135</v>
      </c>
      <c r="C27" s="129">
        <v>3493631</v>
      </c>
      <c r="D27" s="128">
        <f>_xlfn.COMPOUNDVALUE(322)</f>
        <v>1987</v>
      </c>
      <c r="E27" s="129">
        <v>627454</v>
      </c>
      <c r="F27" s="128">
        <f>_xlfn.COMPOUNDVALUE(323)</f>
        <v>4122</v>
      </c>
      <c r="G27" s="129">
        <v>4121085</v>
      </c>
      <c r="H27" s="128">
        <f>_xlfn.COMPOUNDVALUE(324)</f>
        <v>176</v>
      </c>
      <c r="I27" s="130">
        <v>291351</v>
      </c>
      <c r="J27" s="128">
        <v>185</v>
      </c>
      <c r="K27" s="130">
        <v>15780</v>
      </c>
      <c r="L27" s="128">
        <f>_xlfn.COMPOUNDVALUE(324)</f>
        <v>4339</v>
      </c>
      <c r="M27" s="130">
        <v>3845515</v>
      </c>
      <c r="N27" s="125">
        <v>4318</v>
      </c>
      <c r="O27" s="137">
        <v>112</v>
      </c>
      <c r="P27" s="137">
        <v>2</v>
      </c>
      <c r="Q27" s="138">
        <v>4432</v>
      </c>
      <c r="R27" s="14" t="str">
        <f t="shared" si="0"/>
        <v>根室</v>
      </c>
    </row>
    <row r="28" spans="1:18" ht="18.75" customHeight="1">
      <c r="A28" s="13" t="s">
        <v>29</v>
      </c>
      <c r="B28" s="128">
        <f>_xlfn.COMPOUNDVALUE(325)</f>
        <v>1040</v>
      </c>
      <c r="C28" s="129">
        <v>3356245</v>
      </c>
      <c r="D28" s="128">
        <f>_xlfn.COMPOUNDVALUE(326)</f>
        <v>1296</v>
      </c>
      <c r="E28" s="129">
        <v>369993</v>
      </c>
      <c r="F28" s="128">
        <f>_xlfn.COMPOUNDVALUE(327)</f>
        <v>2336</v>
      </c>
      <c r="G28" s="129">
        <v>3726238</v>
      </c>
      <c r="H28" s="128">
        <f>_xlfn.COMPOUNDVALUE(328)</f>
        <v>44</v>
      </c>
      <c r="I28" s="130">
        <v>100072</v>
      </c>
      <c r="J28" s="128">
        <v>117</v>
      </c>
      <c r="K28" s="130">
        <v>23600</v>
      </c>
      <c r="L28" s="128">
        <f>_xlfn.COMPOUNDVALUE(328)</f>
        <v>2412</v>
      </c>
      <c r="M28" s="130">
        <v>3649766</v>
      </c>
      <c r="N28" s="125">
        <v>2454</v>
      </c>
      <c r="O28" s="137">
        <v>44</v>
      </c>
      <c r="P28" s="137">
        <v>4</v>
      </c>
      <c r="Q28" s="138">
        <v>2502</v>
      </c>
      <c r="R28" s="14" t="str">
        <f t="shared" si="0"/>
        <v>滝川</v>
      </c>
    </row>
    <row r="29" spans="1:18" ht="18.75" customHeight="1">
      <c r="A29" s="13" t="s">
        <v>30</v>
      </c>
      <c r="B29" s="128">
        <f>_xlfn.COMPOUNDVALUE(329)</f>
        <v>482</v>
      </c>
      <c r="C29" s="129">
        <v>909731</v>
      </c>
      <c r="D29" s="128">
        <f>_xlfn.COMPOUNDVALUE(330)</f>
        <v>1320</v>
      </c>
      <c r="E29" s="129">
        <v>319257</v>
      </c>
      <c r="F29" s="128">
        <f>_xlfn.COMPOUNDVALUE(331)</f>
        <v>1802</v>
      </c>
      <c r="G29" s="129">
        <v>1228988</v>
      </c>
      <c r="H29" s="128">
        <f>_xlfn.COMPOUNDVALUE(332)</f>
        <v>52</v>
      </c>
      <c r="I29" s="130">
        <v>36411</v>
      </c>
      <c r="J29" s="128">
        <v>55</v>
      </c>
      <c r="K29" s="130">
        <v>3652</v>
      </c>
      <c r="L29" s="128">
        <f>_xlfn.COMPOUNDVALUE(332)</f>
        <v>1857</v>
      </c>
      <c r="M29" s="130">
        <v>1196229</v>
      </c>
      <c r="N29" s="125">
        <v>1841</v>
      </c>
      <c r="O29" s="137">
        <v>14</v>
      </c>
      <c r="P29" s="137">
        <v>2</v>
      </c>
      <c r="Q29" s="138">
        <v>1857</v>
      </c>
      <c r="R29" s="14" t="str">
        <f t="shared" si="0"/>
        <v>深川</v>
      </c>
    </row>
    <row r="30" spans="1:18" ht="18.75" customHeight="1">
      <c r="A30" s="13" t="s">
        <v>31</v>
      </c>
      <c r="B30" s="128">
        <f>_xlfn.COMPOUNDVALUE(333)</f>
        <v>511</v>
      </c>
      <c r="C30" s="129">
        <v>1209360</v>
      </c>
      <c r="D30" s="128">
        <f>_xlfn.COMPOUNDVALUE(334)</f>
        <v>925</v>
      </c>
      <c r="E30" s="129">
        <v>238455</v>
      </c>
      <c r="F30" s="128">
        <f>_xlfn.COMPOUNDVALUE(335)</f>
        <v>1436</v>
      </c>
      <c r="G30" s="129">
        <v>1447816</v>
      </c>
      <c r="H30" s="128">
        <f>_xlfn.COMPOUNDVALUE(336)</f>
        <v>68</v>
      </c>
      <c r="I30" s="130">
        <v>67935</v>
      </c>
      <c r="J30" s="128">
        <v>67</v>
      </c>
      <c r="K30" s="130">
        <v>-7580</v>
      </c>
      <c r="L30" s="128">
        <f>_xlfn.COMPOUNDVALUE(336)</f>
        <v>1515</v>
      </c>
      <c r="M30" s="130">
        <v>1372301</v>
      </c>
      <c r="N30" s="125">
        <v>1520</v>
      </c>
      <c r="O30" s="137">
        <v>43</v>
      </c>
      <c r="P30" s="137">
        <v>0</v>
      </c>
      <c r="Q30" s="138">
        <v>1563</v>
      </c>
      <c r="R30" s="14" t="str">
        <f t="shared" si="0"/>
        <v>富良野</v>
      </c>
    </row>
    <row r="31" spans="1:18" ht="18.75" customHeight="1">
      <c r="A31" s="13" t="s">
        <v>32</v>
      </c>
      <c r="B31" s="128">
        <f>_xlfn.COMPOUNDVALUE(337)</f>
        <v>801</v>
      </c>
      <c r="C31" s="129">
        <v>1235202</v>
      </c>
      <c r="D31" s="128">
        <f>_xlfn.COMPOUNDVALUE(338)</f>
        <v>1457</v>
      </c>
      <c r="E31" s="129">
        <v>439720</v>
      </c>
      <c r="F31" s="128">
        <f>_xlfn.COMPOUNDVALUE(339)</f>
        <v>2258</v>
      </c>
      <c r="G31" s="129">
        <v>1674922</v>
      </c>
      <c r="H31" s="128">
        <f>_xlfn.COMPOUNDVALUE(340)</f>
        <v>58</v>
      </c>
      <c r="I31" s="130">
        <v>111243</v>
      </c>
      <c r="J31" s="128">
        <v>73</v>
      </c>
      <c r="K31" s="130">
        <v>9349</v>
      </c>
      <c r="L31" s="128">
        <f>_xlfn.COMPOUNDVALUE(340)</f>
        <v>2332</v>
      </c>
      <c r="M31" s="130">
        <v>1573028</v>
      </c>
      <c r="N31" s="125">
        <v>2287</v>
      </c>
      <c r="O31" s="137">
        <v>36</v>
      </c>
      <c r="P31" s="137">
        <v>0</v>
      </c>
      <c r="Q31" s="138">
        <v>2323</v>
      </c>
      <c r="R31" s="14" t="str">
        <f t="shared" si="0"/>
        <v>八雲</v>
      </c>
    </row>
    <row r="32" spans="1:18" ht="18.75" customHeight="1">
      <c r="A32" s="13" t="s">
        <v>33</v>
      </c>
      <c r="B32" s="128">
        <f>_xlfn.COMPOUNDVALUE(341)</f>
        <v>342</v>
      </c>
      <c r="C32" s="129">
        <v>541053</v>
      </c>
      <c r="D32" s="128">
        <f>_xlfn.COMPOUNDVALUE(342)</f>
        <v>382</v>
      </c>
      <c r="E32" s="129">
        <v>99130</v>
      </c>
      <c r="F32" s="128">
        <f>_xlfn.COMPOUNDVALUE(343)</f>
        <v>724</v>
      </c>
      <c r="G32" s="129">
        <v>640183</v>
      </c>
      <c r="H32" s="128">
        <f>_xlfn.COMPOUNDVALUE(344)</f>
        <v>23</v>
      </c>
      <c r="I32" s="130">
        <v>19969</v>
      </c>
      <c r="J32" s="128">
        <v>51</v>
      </c>
      <c r="K32" s="130">
        <v>49501</v>
      </c>
      <c r="L32" s="128">
        <f>_xlfn.COMPOUNDVALUE(344)</f>
        <v>754</v>
      </c>
      <c r="M32" s="130">
        <v>669716</v>
      </c>
      <c r="N32" s="125">
        <v>733</v>
      </c>
      <c r="O32" s="137">
        <v>22</v>
      </c>
      <c r="P32" s="137">
        <v>0</v>
      </c>
      <c r="Q32" s="138">
        <v>755</v>
      </c>
      <c r="R32" s="14" t="str">
        <f t="shared" si="0"/>
        <v>江差</v>
      </c>
    </row>
    <row r="33" spans="1:18" ht="18.75" customHeight="1">
      <c r="A33" s="13" t="s">
        <v>34</v>
      </c>
      <c r="B33" s="128">
        <f>_xlfn.COMPOUNDVALUE(345)</f>
        <v>1039</v>
      </c>
      <c r="C33" s="129">
        <v>1793905</v>
      </c>
      <c r="D33" s="128">
        <f>_xlfn.COMPOUNDVALUE(346)</f>
        <v>1348</v>
      </c>
      <c r="E33" s="129">
        <v>368972</v>
      </c>
      <c r="F33" s="128">
        <f>_xlfn.COMPOUNDVALUE(347)</f>
        <v>2387</v>
      </c>
      <c r="G33" s="129">
        <v>2162877</v>
      </c>
      <c r="H33" s="128">
        <f>_xlfn.COMPOUNDVALUE(348)</f>
        <v>113</v>
      </c>
      <c r="I33" s="130">
        <v>135522</v>
      </c>
      <c r="J33" s="128">
        <v>119</v>
      </c>
      <c r="K33" s="130">
        <v>1154</v>
      </c>
      <c r="L33" s="128">
        <f>_xlfn.COMPOUNDVALUE(348)</f>
        <v>2516</v>
      </c>
      <c r="M33" s="130">
        <v>2028508</v>
      </c>
      <c r="N33" s="125">
        <v>2441</v>
      </c>
      <c r="O33" s="137">
        <v>75</v>
      </c>
      <c r="P33" s="137">
        <v>1</v>
      </c>
      <c r="Q33" s="138">
        <v>2517</v>
      </c>
      <c r="R33" s="14" t="str">
        <f t="shared" si="0"/>
        <v>倶知安</v>
      </c>
    </row>
    <row r="34" spans="1:18" ht="18.75" customHeight="1">
      <c r="A34" s="13" t="s">
        <v>35</v>
      </c>
      <c r="B34" s="128">
        <f>_xlfn.COMPOUNDVALUE(349)</f>
        <v>375</v>
      </c>
      <c r="C34" s="129">
        <v>1859096</v>
      </c>
      <c r="D34" s="128">
        <f>_xlfn.COMPOUNDVALUE(350)</f>
        <v>511</v>
      </c>
      <c r="E34" s="129">
        <v>126164</v>
      </c>
      <c r="F34" s="128">
        <f>_xlfn.COMPOUNDVALUE(351)</f>
        <v>886</v>
      </c>
      <c r="G34" s="129">
        <v>1985259</v>
      </c>
      <c r="H34" s="128">
        <f>_xlfn.COMPOUNDVALUE(352)</f>
        <v>43</v>
      </c>
      <c r="I34" s="130">
        <v>30013</v>
      </c>
      <c r="J34" s="128">
        <v>46</v>
      </c>
      <c r="K34" s="130">
        <v>3256</v>
      </c>
      <c r="L34" s="128">
        <f>_xlfn.COMPOUNDVALUE(352)</f>
        <v>946</v>
      </c>
      <c r="M34" s="130">
        <v>1958502</v>
      </c>
      <c r="N34" s="125">
        <v>938</v>
      </c>
      <c r="O34" s="137">
        <v>15</v>
      </c>
      <c r="P34" s="137">
        <v>0</v>
      </c>
      <c r="Q34" s="138">
        <v>953</v>
      </c>
      <c r="R34" s="14" t="str">
        <f t="shared" si="0"/>
        <v>余市</v>
      </c>
    </row>
    <row r="35" spans="1:18" ht="18.75" customHeight="1">
      <c r="A35" s="13" t="s">
        <v>36</v>
      </c>
      <c r="B35" s="128">
        <f>_xlfn.COMPOUNDVALUE(353)</f>
        <v>1008</v>
      </c>
      <c r="C35" s="129">
        <v>1829434</v>
      </c>
      <c r="D35" s="128">
        <f>_xlfn.COMPOUNDVALUE(354)</f>
        <v>909</v>
      </c>
      <c r="E35" s="129">
        <v>259371</v>
      </c>
      <c r="F35" s="128">
        <f>_xlfn.COMPOUNDVALUE(355)</f>
        <v>1917</v>
      </c>
      <c r="G35" s="129">
        <v>2088805</v>
      </c>
      <c r="H35" s="128">
        <f>_xlfn.COMPOUNDVALUE(356)</f>
        <v>103</v>
      </c>
      <c r="I35" s="130">
        <v>119656</v>
      </c>
      <c r="J35" s="128">
        <v>117</v>
      </c>
      <c r="K35" s="130">
        <v>29834</v>
      </c>
      <c r="L35" s="128">
        <f>_xlfn.COMPOUNDVALUE(356)</f>
        <v>2045</v>
      </c>
      <c r="M35" s="130">
        <v>1998983</v>
      </c>
      <c r="N35" s="125">
        <v>2005</v>
      </c>
      <c r="O35" s="137">
        <v>58</v>
      </c>
      <c r="P35" s="137">
        <v>2</v>
      </c>
      <c r="Q35" s="138">
        <v>2065</v>
      </c>
      <c r="R35" s="14" t="str">
        <f t="shared" si="0"/>
        <v>浦河</v>
      </c>
    </row>
    <row r="36" spans="1:18" ht="18.75" customHeight="1" thickBot="1">
      <c r="A36" s="87" t="s">
        <v>37</v>
      </c>
      <c r="B36" s="131">
        <f>_xlfn.COMPOUNDVALUE(357)</f>
        <v>1006</v>
      </c>
      <c r="C36" s="132">
        <v>1081118</v>
      </c>
      <c r="D36" s="131">
        <f>_xlfn.COMPOUNDVALUE(358)</f>
        <v>485</v>
      </c>
      <c r="E36" s="132">
        <v>141675</v>
      </c>
      <c r="F36" s="131">
        <f>_xlfn.COMPOUNDVALUE(359)</f>
        <v>1491</v>
      </c>
      <c r="G36" s="132">
        <v>1222792</v>
      </c>
      <c r="H36" s="131">
        <f>_xlfn.COMPOUNDVALUE(360)</f>
        <v>287</v>
      </c>
      <c r="I36" s="133">
        <v>253943</v>
      </c>
      <c r="J36" s="131">
        <v>60</v>
      </c>
      <c r="K36" s="133">
        <v>4155</v>
      </c>
      <c r="L36" s="131">
        <f>_xlfn.COMPOUNDVALUE(360)</f>
        <v>1789</v>
      </c>
      <c r="M36" s="133">
        <v>973005</v>
      </c>
      <c r="N36" s="131">
        <v>1736</v>
      </c>
      <c r="O36" s="139">
        <v>61</v>
      </c>
      <c r="P36" s="139">
        <v>0</v>
      </c>
      <c r="Q36" s="140">
        <v>1797</v>
      </c>
      <c r="R36" s="85" t="str">
        <f t="shared" si="0"/>
        <v>十勝池田</v>
      </c>
    </row>
    <row r="37" spans="1:18" s="15" customFormat="1" ht="18.75" customHeight="1" thickBot="1" thickTop="1">
      <c r="A37" s="16" t="s">
        <v>44</v>
      </c>
      <c r="B37" s="134">
        <v>72040</v>
      </c>
      <c r="C37" s="135">
        <v>222356700</v>
      </c>
      <c r="D37" s="134">
        <v>56634</v>
      </c>
      <c r="E37" s="135">
        <v>17827800</v>
      </c>
      <c r="F37" s="134">
        <v>128674</v>
      </c>
      <c r="G37" s="135">
        <v>240184500</v>
      </c>
      <c r="H37" s="134">
        <v>6419</v>
      </c>
      <c r="I37" s="136">
        <v>13867641</v>
      </c>
      <c r="J37" s="134">
        <v>7592</v>
      </c>
      <c r="K37" s="136">
        <v>1711420</v>
      </c>
      <c r="L37" s="134">
        <v>136950</v>
      </c>
      <c r="M37" s="136">
        <v>228028279</v>
      </c>
      <c r="N37" s="134">
        <v>137677</v>
      </c>
      <c r="O37" s="141">
        <v>3378</v>
      </c>
      <c r="P37" s="141">
        <v>316</v>
      </c>
      <c r="Q37" s="142">
        <v>141371</v>
      </c>
      <c r="R37" s="17" t="str">
        <f t="shared" si="0"/>
        <v>合　　計</v>
      </c>
    </row>
    <row r="38" spans="1:18" s="33" customFormat="1" ht="3" customHeight="1">
      <c r="A38" s="29"/>
      <c r="B38" s="30"/>
      <c r="C38" s="30"/>
      <c r="D38" s="30"/>
      <c r="E38" s="30"/>
      <c r="F38" s="30"/>
      <c r="G38" s="30"/>
      <c r="H38" s="30"/>
      <c r="I38" s="30"/>
      <c r="J38" s="30"/>
      <c r="K38" s="30"/>
      <c r="L38" s="30"/>
      <c r="M38" s="30"/>
      <c r="N38" s="30"/>
      <c r="O38" s="30"/>
      <c r="P38" s="30"/>
      <c r="Q38" s="30"/>
      <c r="R38" s="29"/>
    </row>
    <row r="39" spans="1:17" ht="14.25" thickBot="1">
      <c r="A39" s="175" t="s">
        <v>93</v>
      </c>
      <c r="B39" s="175"/>
      <c r="C39" s="175"/>
      <c r="D39" s="175"/>
      <c r="E39" s="175"/>
      <c r="F39" s="175"/>
      <c r="G39" s="175"/>
      <c r="H39" s="175"/>
      <c r="I39" s="175"/>
      <c r="J39" s="175"/>
      <c r="K39" s="175"/>
      <c r="L39" s="175"/>
      <c r="M39" s="175"/>
      <c r="N39" s="175"/>
      <c r="O39" s="175"/>
      <c r="P39" s="175"/>
      <c r="Q39" s="175"/>
    </row>
    <row r="40" spans="1:9" ht="13.5">
      <c r="A40" s="202"/>
      <c r="B40" s="202"/>
      <c r="C40" s="202"/>
      <c r="D40" s="202"/>
      <c r="E40" s="202"/>
      <c r="F40" s="202"/>
      <c r="G40" s="202"/>
      <c r="H40" s="202"/>
      <c r="I40" s="202"/>
    </row>
  </sheetData>
  <sheetProtection/>
  <mergeCells count="17">
    <mergeCell ref="A40:I40"/>
    <mergeCell ref="N3:Q3"/>
    <mergeCell ref="A2:I2"/>
    <mergeCell ref="A3:A5"/>
    <mergeCell ref="B3:G3"/>
    <mergeCell ref="H3:I4"/>
    <mergeCell ref="A39:Q39"/>
    <mergeCell ref="R3:R5"/>
    <mergeCell ref="B4:C4"/>
    <mergeCell ref="D4:E4"/>
    <mergeCell ref="F4:G4"/>
    <mergeCell ref="N4:N5"/>
    <mergeCell ref="O4:O5"/>
    <mergeCell ref="P4:P5"/>
    <mergeCell ref="Q4:Q5"/>
    <mergeCell ref="J3:K4"/>
    <mergeCell ref="L3:M4"/>
  </mergeCells>
  <printOptions horizontalCentered="1"/>
  <pageMargins left="0.7874015748031497" right="0.5511811023622047" top="0.9055118110236221" bottom="0.5905511811023623" header="0.5118110236220472" footer="0.31496062992125984"/>
  <pageSetup fitToHeight="0" horizontalDpi="600" verticalDpi="600" orientation="landscape" paperSize="9" scale="72" r:id="rId1"/>
  <headerFooter alignWithMargins="0">
    <oddFooter>&amp;R札幌国税局　
消費税
（H25）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行政情報化プロジェクト</dc:creator>
  <cp:keywords/>
  <dc:description/>
  <cp:lastModifiedBy>国税庁</cp:lastModifiedBy>
  <cp:lastPrinted>2015-03-05T05:25:28Z</cp:lastPrinted>
  <dcterms:created xsi:type="dcterms:W3CDTF">2011-12-09T10:59:54Z</dcterms:created>
  <dcterms:modified xsi:type="dcterms:W3CDTF">2015-06-03T07:21:34Z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