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00" tabRatio="82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'(4)税務署別(個人事業者）'!$A$1:$N$103</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<sst xmlns="http://schemas.openxmlformats.org/spreadsheetml/2006/main" count="741" uniqueCount="182">
  <si>
    <t>　イ　個人事業者</t>
  </si>
  <si>
    <t>税務署名</t>
  </si>
  <si>
    <t>納　　　税　　　申　　　告　　　及　　　び　　　処　　　理</t>
  </si>
  <si>
    <t>還付申告及び処理</t>
  </si>
  <si>
    <t>既往年分の
申告及び処理</t>
  </si>
  <si>
    <t>合　　　　　　計</t>
  </si>
  <si>
    <t>税務署名</t>
  </si>
  <si>
    <t>一般申告及び処理</t>
  </si>
  <si>
    <t>簡易申告及び処理</t>
  </si>
  <si>
    <t>小　　　　　　計</t>
  </si>
  <si>
    <t>件数</t>
  </si>
  <si>
    <t>税額</t>
  </si>
  <si>
    <t>税　額　①</t>
  </si>
  <si>
    <t>税　額　②</t>
  </si>
  <si>
    <t>税　額　③</t>
  </si>
  <si>
    <t>件</t>
  </si>
  <si>
    <t>千円</t>
  </si>
  <si>
    <t>総　計</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</si>
  <si>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</si>
  <si>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</si>
  <si>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</si>
  <si>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</si>
  <si>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</si>
  <si>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</si>
  <si>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</si>
  <si>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</si>
  <si>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</si>
  <si>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</si>
  <si>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</si>
  <si>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</si>
  <si>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</si>
  <si>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</si>
  <si>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</si>
  <si>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</si>
  <si>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</si>
  <si>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</si>
  <si>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</si>
  <si>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</si>
  <si>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</si>
  <si>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</si>
  <si>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</si>
  <si>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</si>
  <si>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</si>
  <si>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</si>
  <si>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</si>
  <si>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</si>
  <si>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</si>
  <si>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</si>
  <si>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</si>
  <si>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</si>
  <si>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</si>
  <si>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</si>
  <si>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</si>
  <si>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</si>
  <si>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</si>
  <si>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</si>
  <si>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</si>
  <si>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</si>
  <si>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</si>
  <si>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</si>
  <si>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</si>
  <si>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</si>
  <si>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</si>
  <si>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</si>
  <si>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</si>
  <si>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</si>
  <si>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</si>
  <si>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</si>
  <si>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</si>
  <si>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</si>
  <si>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</si>
  <si>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</si>
  <si>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</si>
  <si>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</si>
  <si>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</si>
  <si>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</si>
  <si>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</si>
  <si>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</si>
  <si>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</si>
  <si>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</si>
  <si>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</si>
  <si>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</si>
  <si>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</si>
  <si>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</si>
  <si>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</si>
  <si>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</si>
  <si>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</si>
  <si>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</si>
  <si>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</si>
  <si>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</si>
  <si>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</si>
  <si>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</si>
  <si>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</si>
  <si>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</si>
  <si>
    <t>奈良</t>
  </si>
  <si>
    <t>葛城</t>
  </si>
  <si>
    <t>桜井</t>
  </si>
  <si>
    <t>吉野</t>
  </si>
  <si>
    <t>奈良県計</t>
  </si>
  <si>
    <t>和歌山</t>
  </si>
  <si>
    <t>海南</t>
  </si>
  <si>
    <t>御坊</t>
  </si>
  <si>
    <t>田辺</t>
  </si>
  <si>
    <t>新宮</t>
  </si>
  <si>
    <t>粉河</t>
  </si>
  <si>
    <t>湯浅</t>
  </si>
  <si>
    <t>和歌山県計</t>
  </si>
  <si>
    <t>　ロ　法　　　人</t>
  </si>
  <si>
    <t>税務署名</t>
  </si>
  <si>
    <t>滋賀県計</t>
  </si>
  <si>
    <t>課　税　事　業　者　等　届　出　件　数</t>
  </si>
  <si>
    <t>課税事業者
届出</t>
  </si>
  <si>
    <t>課税事業者
選択届出</t>
  </si>
  <si>
    <t>新設法人に
該当する旨
の届出</t>
  </si>
  <si>
    <t>合　　　計</t>
  </si>
  <si>
    <t>件数</t>
  </si>
  <si>
    <t>税　　　額
(①－②＋③)</t>
  </si>
  <si>
    <t>税　　額
(①－②＋③)</t>
  </si>
  <si>
    <t>総　計</t>
  </si>
  <si>
    <t/>
  </si>
  <si>
    <t>滋賀県計</t>
  </si>
  <si>
    <t>京都府計</t>
  </si>
  <si>
    <t>大阪府計</t>
  </si>
  <si>
    <t>兵庫県計</t>
  </si>
  <si>
    <t>奈良県計</t>
  </si>
  <si>
    <t>和歌山県計</t>
  </si>
  <si>
    <t>７　消　費　税</t>
  </si>
  <si>
    <t>区　　　分</t>
  </si>
  <si>
    <t>個　人　事　業　者</t>
  </si>
  <si>
    <t>件　　　数</t>
  </si>
  <si>
    <t>税　　　額</t>
  </si>
  <si>
    <t>件</t>
  </si>
  <si>
    <t>千円</t>
  </si>
  <si>
    <t>差引計</t>
  </si>
  <si>
    <t>実</t>
  </si>
  <si>
    <t>加算税</t>
  </si>
  <si>
    <t>(2)　課税状況の累年比較</t>
  </si>
  <si>
    <t>法　　　　　　　人</t>
  </si>
  <si>
    <t>合　　　　　　　計</t>
  </si>
  <si>
    <t>件　　数</t>
  </si>
  <si>
    <t>税　　額</t>
  </si>
  <si>
    <t>納税申告計</t>
  </si>
  <si>
    <t>(3)　課税事業者等届出件数</t>
  </si>
  <si>
    <t>課税事業者届出書</t>
  </si>
  <si>
    <t>課税事業者選択届出書</t>
  </si>
  <si>
    <t>新設法人に該当する旨の届出書</t>
  </si>
  <si>
    <t>合計</t>
  </si>
  <si>
    <t>（注）納税義務者でなくなった旨の届出書又は課税事業者選択不適用届出書を提出した者は含まない。</t>
  </si>
  <si>
    <t>平成25年度</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</si>
  <si>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</si>
  <si>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</si>
  <si>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</si>
  <si>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</si>
  <si>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</si>
  <si>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</si>
  <si>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</si>
  <si>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</si>
  <si>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</si>
  <si>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</si>
  <si>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</si>
  <si>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</si>
  <si>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京都府計</t>
  </si>
  <si>
    <t>大阪府計</t>
  </si>
  <si>
    <t>兵庫県計</t>
  </si>
  <si>
    <t>奈良県計</t>
  </si>
  <si>
    <t>和歌山県計</t>
  </si>
  <si>
    <t>総　計</t>
  </si>
  <si>
    <t>平成26年度</t>
  </si>
  <si>
    <t>（注）１  税関分は含まない。</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</si>
  <si>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</si>
  <si>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</si>
  <si>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平成27年度</t>
  </si>
  <si>
    <t>実件</t>
  </si>
  <si>
    <t>(4)　税務署別課税状況等</t>
  </si>
  <si>
    <t>(4)　税務署別課税状況等（続）</t>
  </si>
  <si>
    <t>　　　２  「件数」欄の「実」は、実件数を示す。</t>
  </si>
  <si>
    <t>調査対象等：　「現年分」は、平成29年４月１日から平成30年３月31日までに終了した課税期間について、平成30年６
　　　　　　月30日現在の申告（国・地方公共団体等については平成30年９月30日までの申告を含む。）及び処理（更
　　　　　　正、決定等）による課税事績を「申告書及び決議書」に基づいて作成した。</t>
  </si>
  <si>
    <t>　　　　　　　「既往年分」は、平成29年３月31日以前に終了した課税期間について、平成29年７月１日から平成30年
　　　　　　６月30日までの間の申告（平成29年７月１日から同年９月30日までの間の国・地方公共団体等に係る申告
　　　　　　を除く。）及び処理（更正、決定等）による課税事績を「申告書及び決議書」に基づいて作成した。</t>
  </si>
  <si>
    <t>平成28年度</t>
  </si>
  <si>
    <t>平成29年度</t>
  </si>
  <si>
    <t>調査対象等：　平成29年度末（平成30年３月31日現在）の届出件数を示している。</t>
  </si>
  <si>
    <t>　ハ　個人事業者と法人の合計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</si>
</sst>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5">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b/>
      <sz val="9"/>
      <name val="ＭＳ 明朝"/>
      <family val="1"/>
    </font>
    <font>
      <b/>
      <sz val="11"/>
      <name val="ＭＳ Ｐ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style="medium"/>
      <top/>
      <bottom style="double"/>
    </border>
    <border>
      <left style="medium"/>
      <right/>
      <top/>
      <bottom style="medium"/>
    </border>
    <border>
      <left style="thin"/>
      <right style="medium"/>
      <top/>
      <bottom style="medium"/>
    </border>
    <border>
      <left style="medium"/>
      <right/>
      <top style="thin">
        <color indexed="55"/>
      </top>
      <bottom style="thin">
        <color indexed="55"/>
      </bottom>
    </border>
    <border>
      <left style="thin"/>
      <right style="medium"/>
      <top style="thin">
        <color indexed="55"/>
      </top>
      <bottom style="thin">
        <color indexed="55"/>
      </bottom>
    </border>
    <border>
      <left style="thin"/>
      <right style="medium"/>
      <top style="thin">
        <color indexed="55"/>
      </top>
      <bottom style="hair">
        <color indexed="55"/>
      </bottom>
    </border>
    <border>
      <left style="hair"/>
      <right style="thin"/>
      <top style="hair"/>
      <bottom style="thin"/>
    </border>
    <border>
      <left style="hair"/>
      <right style="hair"/>
      <top style="thin"/>
      <bottom/>
    </border>
    <border>
      <left style="thin"/>
      <right style="medium"/>
      <top style="thin">
        <color indexed="23"/>
      </top>
      <bottom/>
    </border>
    <border>
      <left style="thin"/>
      <right style="medium"/>
      <top style="double"/>
      <bottom style="medium"/>
    </border>
    <border>
      <left style="thin"/>
      <right style="medium"/>
      <top style="thin">
        <color indexed="23"/>
      </top>
      <bottom style="thin">
        <color indexed="23"/>
      </bottom>
    </border>
    <border>
      <left style="thin"/>
      <right style="hair"/>
      <top style="hair"/>
      <bottom style="thin"/>
    </border>
    <border>
      <left style="hair"/>
      <right/>
      <top style="hair"/>
      <bottom style="thin"/>
    </border>
    <border>
      <left style="hair"/>
      <right style="medium"/>
      <top style="thin"/>
      <bottom/>
    </border>
    <border>
      <left style="hair"/>
      <right style="thin"/>
      <top/>
      <bottom style="hair">
        <color indexed="55"/>
      </bottom>
    </border>
    <border>
      <left style="thin"/>
      <right style="hair"/>
      <top/>
      <bottom/>
    </border>
    <border>
      <left style="hair"/>
      <right style="medium"/>
      <top/>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hair"/>
      <right style="thin"/>
      <top style="thin"/>
      <bottom style="hair">
        <color indexed="55"/>
      </bottom>
    </border>
    <border>
      <left style="hair"/>
      <right style="medium"/>
      <top style="thin"/>
      <bottom style="hair">
        <color indexed="55"/>
      </bottom>
    </border>
    <border>
      <left style="thin"/>
      <right style="hair"/>
      <top style="thin"/>
      <bottom style="thin"/>
    </border>
    <border>
      <left style="thin"/>
      <right style="hair"/>
      <top/>
      <bottom style="medium"/>
    </border>
    <border>
      <left/>
      <right style="thin"/>
      <top style="thin"/>
      <bottom/>
    </border>
    <border>
      <left/>
      <right style="medium"/>
      <top style="thin"/>
      <bottom/>
    </border>
    <border>
      <left style="thin"/>
      <right style="hair"/>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hair"/>
      <right style="thin"/>
      <top style="hair">
        <color indexed="55"/>
      </top>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bottom style="medium"/>
    </border>
    <border>
      <left style="hair"/>
      <right style="thin"/>
      <top/>
      <bottom style="medium"/>
    </border>
    <border>
      <left style="hair"/>
      <right style="medium"/>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hair"/>
      <right style="hair"/>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color indexed="63"/>
      </left>
      <right style="hair"/>
      <top/>
      <bottom style="hair">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top style="thin">
        <color indexed="55"/>
      </top>
      <bottom style="hair">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thin"/>
      <right style="hair"/>
      <top style="hair">
        <color indexed="55"/>
      </top>
      <bottom style="medium"/>
    </border>
    <border>
      <left style="hair"/>
      <right style="medium"/>
      <top style="hair">
        <color indexed="55"/>
      </top>
      <bottom style="medium"/>
    </border>
    <border>
      <left style="medium"/>
      <right style="thin"/>
      <top/>
      <bottom style="medium"/>
    </border>
    <border>
      <left style="thin"/>
      <right style="thin"/>
      <top/>
      <bottom style="medium"/>
    </border>
    <border>
      <left style="thin"/>
      <right/>
      <top/>
      <bottom style="medium"/>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right/>
      <top style="medium"/>
      <bottom/>
    </border>
    <border>
      <left style="medium"/>
      <right/>
      <top style="medium"/>
      <bottom/>
    </border>
    <border>
      <left/>
      <right style="thin"/>
      <top style="medium"/>
      <bottom/>
    </border>
    <border>
      <left style="medium"/>
      <right/>
      <top/>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style="thin"/>
      <bottom/>
    </border>
    <border>
      <left style="medium"/>
      <right style="hair"/>
      <top style="hair"/>
      <bottom style="medium"/>
    </border>
    <border>
      <left style="thin"/>
      <right style="thin"/>
      <top style="medium"/>
      <bottom style="thin"/>
    </border>
    <border>
      <left/>
      <right style="medium"/>
      <top style="medium"/>
      <bottom/>
    </border>
    <border>
      <left style="medium"/>
      <right style="hair"/>
      <top/>
      <bottom style="hair"/>
    </border>
    <border>
      <left style="medium"/>
      <right style="hair"/>
      <top style="hair"/>
      <bottom style="thin"/>
    </border>
    <border>
      <left style="thin"/>
      <right style="medium"/>
      <top/>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top style="medium"/>
      <bottom style="hair"/>
    </border>
    <border>
      <left style="hair"/>
      <right/>
      <top style="hair"/>
      <bottom style="hair"/>
    </border>
    <border>
      <left style="medium"/>
      <right/>
      <top/>
      <bottom style="thin"/>
    </border>
    <border>
      <left style="thin"/>
      <right style="thin"/>
      <top style="medium"/>
      <bottom style="hair"/>
    </border>
    <border>
      <left/>
      <right/>
      <top/>
      <bottom style="medium"/>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
      <left style="thin"/>
      <right style="hair"/>
      <top style="hair"/>
      <bottom/>
    </border>
    <border>
      <left style="thin"/>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220">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8" fillId="36" borderId="19" xfId="60" applyFont="1" applyFill="1" applyBorder="1" applyAlignment="1">
      <alignment horizontal="distributed" vertical="center"/>
      <protection/>
    </xf>
    <xf numFmtId="0" fontId="8" fillId="36" borderId="20" xfId="60" applyFont="1" applyFill="1" applyBorder="1" applyAlignment="1">
      <alignment horizontal="distributed" vertical="center"/>
      <protection/>
    </xf>
    <xf numFmtId="0" fontId="9" fillId="0" borderId="0" xfId="60" applyFont="1">
      <alignment/>
      <protection/>
    </xf>
    <xf numFmtId="0" fontId="10" fillId="0" borderId="21" xfId="60" applyFont="1" applyFill="1" applyBorder="1" applyAlignment="1">
      <alignment horizontal="distributed" vertical="center"/>
      <protection/>
    </xf>
    <xf numFmtId="0" fontId="10" fillId="0" borderId="22" xfId="60" applyFont="1" applyFill="1" applyBorder="1" applyAlignment="1">
      <alignment horizontal="center" vertical="center"/>
      <protection/>
    </xf>
    <xf numFmtId="0" fontId="11" fillId="0" borderId="0" xfId="60" applyFont="1" applyFill="1">
      <alignment/>
      <protection/>
    </xf>
    <xf numFmtId="0" fontId="8" fillId="0" borderId="23" xfId="60" applyFont="1" applyBorder="1" applyAlignment="1">
      <alignment horizontal="center" vertical="center"/>
      <protection/>
    </xf>
    <xf numFmtId="0" fontId="8" fillId="0" borderId="24" xfId="60" applyFont="1" applyBorder="1" applyAlignment="1">
      <alignment horizontal="center" vertical="center"/>
      <protection/>
    </xf>
    <xf numFmtId="0" fontId="10" fillId="0" borderId="25" xfId="60" applyFont="1" applyFill="1" applyBorder="1" applyAlignment="1">
      <alignment horizontal="distributed" vertical="center"/>
      <protection/>
    </xf>
    <xf numFmtId="0" fontId="10" fillId="0" borderId="26" xfId="60" applyFont="1" applyFill="1" applyBorder="1" applyAlignment="1">
      <alignment horizontal="center" vertical="center"/>
      <protection/>
    </xf>
    <xf numFmtId="0" fontId="3" fillId="36" borderId="27" xfId="60" applyFont="1" applyFill="1" applyBorder="1" applyAlignment="1">
      <alignment horizontal="distributed" vertical="center"/>
      <protection/>
    </xf>
    <xf numFmtId="176" fontId="10" fillId="0" borderId="25" xfId="60" applyNumberFormat="1" applyFont="1" applyFill="1" applyBorder="1" applyAlignment="1">
      <alignment horizontal="distributed"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8" xfId="60" applyFont="1" applyBorder="1" applyAlignment="1">
      <alignment horizontal="center" vertical="center" wrapText="1"/>
      <protection/>
    </xf>
    <xf numFmtId="0" fontId="5" fillId="34" borderId="29"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10" fillId="0" borderId="30" xfId="60" applyFont="1" applyFill="1" applyBorder="1" applyAlignment="1">
      <alignment horizontal="center" vertical="center"/>
      <protection/>
    </xf>
    <xf numFmtId="0" fontId="8" fillId="0" borderId="31" xfId="60" applyFont="1" applyBorder="1" applyAlignment="1">
      <alignment horizontal="center" vertical="center"/>
      <protection/>
    </xf>
    <xf numFmtId="0" fontId="10" fillId="0" borderId="32" xfId="60" applyFont="1" applyFill="1" applyBorder="1" applyAlignment="1">
      <alignment horizontal="center" vertical="center"/>
      <protection/>
    </xf>
    <xf numFmtId="0" fontId="3" fillId="0" borderId="33" xfId="60" applyFont="1" applyBorder="1" applyAlignment="1">
      <alignment horizontal="distributed" vertical="center" indent="1"/>
      <protection/>
    </xf>
    <xf numFmtId="0" fontId="3" fillId="0" borderId="28" xfId="60" applyFont="1" applyBorder="1" applyAlignment="1">
      <alignment horizontal="distributed" vertical="center" indent="1"/>
      <protection/>
    </xf>
    <xf numFmtId="0" fontId="3" fillId="0" borderId="34" xfId="60" applyFont="1" applyBorder="1" applyAlignment="1">
      <alignment horizontal="centerContinuous" vertical="center" wrapText="1"/>
      <protection/>
    </xf>
    <xf numFmtId="0" fontId="3" fillId="0" borderId="34" xfId="60" applyFont="1" applyBorder="1" applyAlignment="1">
      <alignment horizontal="center" vertical="center"/>
      <protection/>
    </xf>
    <xf numFmtId="0" fontId="3" fillId="0" borderId="28" xfId="60" applyFont="1" applyBorder="1" applyAlignment="1">
      <alignment horizontal="center" vertical="center"/>
      <protection/>
    </xf>
    <xf numFmtId="176" fontId="2" fillId="0" borderId="0" xfId="60" applyNumberFormat="1" applyFont="1">
      <alignment/>
      <protection/>
    </xf>
    <xf numFmtId="0" fontId="12" fillId="0" borderId="0" xfId="60" applyFont="1" applyAlignment="1">
      <alignment horizontal="center" vertical="top"/>
      <protection/>
    </xf>
    <xf numFmtId="0" fontId="3" fillId="0" borderId="12" xfId="60" applyFont="1" applyBorder="1" applyAlignment="1">
      <alignment horizontal="center" vertical="center"/>
      <protection/>
    </xf>
    <xf numFmtId="0" fontId="3" fillId="0" borderId="35" xfId="60" applyFont="1" applyBorder="1" applyAlignment="1">
      <alignment horizontal="center" vertical="center"/>
      <protection/>
    </xf>
    <xf numFmtId="0" fontId="5" fillId="0" borderId="10"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0" borderId="11" xfId="60" applyFont="1" applyFill="1" applyBorder="1" applyAlignment="1">
      <alignment horizontal="right" vertical="top"/>
      <protection/>
    </xf>
    <xf numFmtId="0" fontId="5" fillId="35" borderId="35" xfId="60" applyFont="1" applyFill="1" applyBorder="1" applyAlignment="1">
      <alignment horizontal="right" vertical="top"/>
      <protection/>
    </xf>
    <xf numFmtId="0" fontId="3" fillId="0" borderId="36" xfId="60" applyFont="1" applyBorder="1" applyAlignment="1">
      <alignment horizontal="distributed" vertical="center"/>
      <protection/>
    </xf>
    <xf numFmtId="0" fontId="3" fillId="0" borderId="37" xfId="60" applyFont="1" applyBorder="1" applyAlignment="1">
      <alignment horizontal="right" vertical="center"/>
      <protection/>
    </xf>
    <xf numFmtId="3" fontId="3" fillId="35" borderId="36" xfId="60" applyNumberFormat="1" applyFont="1" applyFill="1" applyBorder="1" applyAlignment="1">
      <alignment horizontal="right" vertical="center"/>
      <protection/>
    </xf>
    <xf numFmtId="3" fontId="3" fillId="0" borderId="37" xfId="60" applyNumberFormat="1" applyFont="1" applyBorder="1" applyAlignment="1">
      <alignment horizontal="right" vertical="center"/>
      <protection/>
    </xf>
    <xf numFmtId="3" fontId="3" fillId="35" borderId="38" xfId="60" applyNumberFormat="1" applyFont="1" applyFill="1" applyBorder="1" applyAlignment="1">
      <alignment horizontal="right" vertical="center"/>
      <protection/>
    </xf>
    <xf numFmtId="0" fontId="3" fillId="0" borderId="39" xfId="60" applyFont="1" applyBorder="1" applyAlignment="1">
      <alignment horizontal="distributed" vertical="center"/>
      <protection/>
    </xf>
    <xf numFmtId="0" fontId="8" fillId="0" borderId="39" xfId="60" applyFont="1" applyBorder="1" applyAlignment="1">
      <alignment horizontal="distributed" vertical="center"/>
      <protection/>
    </xf>
    <xf numFmtId="0" fontId="8" fillId="0" borderId="37" xfId="60" applyFont="1" applyBorder="1" applyAlignment="1">
      <alignment horizontal="right" vertical="center"/>
      <protection/>
    </xf>
    <xf numFmtId="0" fontId="8" fillId="0" borderId="0" xfId="60" applyFont="1" applyAlignment="1">
      <alignment horizontal="left" vertical="top"/>
      <protection/>
    </xf>
    <xf numFmtId="0" fontId="3" fillId="0" borderId="40" xfId="60" applyFont="1" applyBorder="1" applyAlignment="1">
      <alignment horizontal="distributed" vertical="center"/>
      <protection/>
    </xf>
    <xf numFmtId="0" fontId="3" fillId="0" borderId="41" xfId="60" applyFont="1" applyBorder="1" applyAlignment="1">
      <alignment horizontal="distributed" vertical="center" wrapText="1"/>
      <protection/>
    </xf>
    <xf numFmtId="0" fontId="3" fillId="0" borderId="11" xfId="60" applyFont="1" applyBorder="1" applyAlignment="1">
      <alignment horizontal="center" vertical="center"/>
      <protection/>
    </xf>
    <xf numFmtId="3" fontId="3" fillId="35" borderId="41" xfId="60" applyNumberFormat="1" applyFont="1" applyFill="1" applyBorder="1" applyAlignment="1">
      <alignment horizontal="right" vertical="center"/>
      <protection/>
    </xf>
    <xf numFmtId="3" fontId="3" fillId="0" borderId="11" xfId="60" applyNumberFormat="1" applyFont="1" applyBorder="1" applyAlignment="1">
      <alignment horizontal="center" vertical="center"/>
      <protection/>
    </xf>
    <xf numFmtId="3" fontId="3" fillId="35" borderId="42" xfId="60" applyNumberFormat="1" applyFont="1" applyFill="1" applyBorder="1" applyAlignment="1">
      <alignment horizontal="right" vertical="center"/>
      <protection/>
    </xf>
    <xf numFmtId="0" fontId="3" fillId="0" borderId="39" xfId="60" applyFont="1" applyBorder="1" applyAlignment="1">
      <alignment horizontal="distributed" vertical="center" wrapText="1"/>
      <protection/>
    </xf>
    <xf numFmtId="0" fontId="3" fillId="0" borderId="37" xfId="60" applyFont="1" applyBorder="1" applyAlignment="1">
      <alignment horizontal="center" vertical="center"/>
      <protection/>
    </xf>
    <xf numFmtId="3" fontId="3" fillId="0" borderId="37" xfId="60" applyNumberFormat="1" applyFont="1" applyBorder="1" applyAlignment="1">
      <alignment horizontal="center" vertical="center"/>
      <protection/>
    </xf>
    <xf numFmtId="0" fontId="8" fillId="0" borderId="43" xfId="60" applyFont="1" applyBorder="1" applyAlignment="1">
      <alignment horizontal="right" vertical="center"/>
      <protection/>
    </xf>
    <xf numFmtId="0" fontId="3" fillId="0" borderId="44" xfId="60" applyFont="1" applyBorder="1" applyAlignment="1">
      <alignment horizontal="right" vertical="center"/>
      <protection/>
    </xf>
    <xf numFmtId="3" fontId="3" fillId="0" borderId="44" xfId="60" applyNumberFormat="1" applyFont="1" applyBorder="1" applyAlignment="1">
      <alignment horizontal="right" vertical="center"/>
      <protection/>
    </xf>
    <xf numFmtId="0" fontId="3" fillId="0" borderId="0" xfId="60" applyFont="1" applyAlignment="1" quotePrefix="1">
      <alignment horizontal="left" vertical="top"/>
      <protection/>
    </xf>
    <xf numFmtId="0" fontId="3" fillId="0" borderId="45" xfId="60" applyFont="1" applyBorder="1" applyAlignment="1">
      <alignment horizontal="center" vertical="center"/>
      <protection/>
    </xf>
    <xf numFmtId="0" fontId="3" fillId="0" borderId="46" xfId="60" applyFont="1" applyBorder="1" applyAlignment="1">
      <alignment horizontal="center" vertical="center"/>
      <protection/>
    </xf>
    <xf numFmtId="0" fontId="3" fillId="0" borderId="10" xfId="60" applyFont="1" applyBorder="1" applyAlignment="1">
      <alignment horizontal="center" vertical="center"/>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5" fillId="35" borderId="35" xfId="60" applyFont="1" applyFill="1" applyBorder="1" applyAlignment="1">
      <alignment horizontal="right"/>
      <protection/>
    </xf>
    <xf numFmtId="0" fontId="3" fillId="0" borderId="0" xfId="60" applyFont="1" applyAlignment="1">
      <alignment horizontal="left"/>
      <protection/>
    </xf>
    <xf numFmtId="3" fontId="3" fillId="34" borderId="47" xfId="60" applyNumberFormat="1" applyFont="1" applyFill="1" applyBorder="1" applyAlignment="1">
      <alignment horizontal="right" vertical="center"/>
      <protection/>
    </xf>
    <xf numFmtId="0" fontId="3" fillId="0" borderId="0" xfId="60" applyFont="1" applyBorder="1" applyAlignment="1">
      <alignment horizontal="left" vertical="top"/>
      <protection/>
    </xf>
    <xf numFmtId="3" fontId="3" fillId="34" borderId="48" xfId="60" applyNumberFormat="1" applyFont="1" applyFill="1" applyBorder="1" applyAlignment="1">
      <alignment horizontal="right" vertical="center"/>
      <protection/>
    </xf>
    <xf numFmtId="3" fontId="3" fillId="35" borderId="40" xfId="60" applyNumberFormat="1" applyFont="1" applyFill="1" applyBorder="1" applyAlignment="1">
      <alignment horizontal="right" vertical="center"/>
      <protection/>
    </xf>
    <xf numFmtId="3" fontId="3" fillId="35" borderId="49" xfId="60" applyNumberFormat="1" applyFont="1" applyFill="1" applyBorder="1" applyAlignment="1">
      <alignment horizontal="right" vertical="center"/>
      <protection/>
    </xf>
    <xf numFmtId="0" fontId="3" fillId="0" borderId="41" xfId="60" applyFont="1" applyBorder="1" applyAlignment="1">
      <alignment horizontal="distributed" vertical="center"/>
      <protection/>
    </xf>
    <xf numFmtId="3" fontId="3" fillId="34" borderId="50" xfId="60" applyNumberFormat="1" applyFont="1" applyFill="1" applyBorder="1" applyAlignment="1">
      <alignment horizontal="right" vertical="center"/>
      <protection/>
    </xf>
    <xf numFmtId="0" fontId="3" fillId="0" borderId="51" xfId="60" applyFont="1" applyBorder="1" applyAlignment="1">
      <alignment horizontal="distributed" vertical="center"/>
      <protection/>
    </xf>
    <xf numFmtId="3" fontId="3" fillId="0" borderId="0" xfId="60" applyNumberFormat="1" applyFont="1" applyAlignment="1">
      <alignment horizontal="left" vertical="top"/>
      <protection/>
    </xf>
    <xf numFmtId="0" fontId="3" fillId="0" borderId="52" xfId="60" applyFont="1" applyBorder="1" applyAlignment="1">
      <alignment horizontal="distributed" vertical="center"/>
      <protection/>
    </xf>
    <xf numFmtId="0" fontId="3" fillId="0" borderId="53" xfId="60" applyFont="1" applyBorder="1" applyAlignment="1">
      <alignment horizontal="distributed" vertical="center"/>
      <protection/>
    </xf>
    <xf numFmtId="0" fontId="3" fillId="0" borderId="54" xfId="60" applyFont="1" applyBorder="1" applyAlignment="1">
      <alignment horizontal="center" vertical="center"/>
      <protection/>
    </xf>
    <xf numFmtId="0" fontId="3" fillId="0" borderId="55" xfId="60" applyFont="1" applyBorder="1" applyAlignment="1">
      <alignment horizontal="distributed" vertical="center" indent="1"/>
      <protection/>
    </xf>
    <xf numFmtId="0" fontId="5" fillId="34" borderId="56" xfId="60" applyFont="1" applyFill="1" applyBorder="1" applyAlignment="1">
      <alignment horizontal="right"/>
      <protection/>
    </xf>
    <xf numFmtId="0" fontId="5" fillId="34" borderId="57" xfId="60" applyFont="1" applyFill="1" applyBorder="1" applyAlignment="1">
      <alignment horizontal="right"/>
      <protection/>
    </xf>
    <xf numFmtId="0" fontId="5" fillId="34" borderId="58"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3" fontId="3" fillId="34" borderId="59" xfId="60" applyNumberFormat="1" applyFont="1" applyFill="1" applyBorder="1" applyAlignment="1">
      <alignment horizontal="right" vertical="center"/>
      <protection/>
    </xf>
    <xf numFmtId="3" fontId="3" fillId="34" borderId="60" xfId="60" applyNumberFormat="1" applyFont="1" applyFill="1" applyBorder="1" applyAlignment="1">
      <alignment horizontal="right" vertical="center"/>
      <protection/>
    </xf>
    <xf numFmtId="3" fontId="3" fillId="35" borderId="39" xfId="60" applyNumberFormat="1" applyFont="1" applyFill="1" applyBorder="1" applyAlignment="1">
      <alignment horizontal="right" vertical="center"/>
      <protection/>
    </xf>
    <xf numFmtId="3" fontId="3" fillId="35" borderId="61" xfId="60" applyNumberFormat="1" applyFont="1" applyFill="1" applyBorder="1" applyAlignment="1">
      <alignment horizontal="right" vertical="center"/>
      <protection/>
    </xf>
    <xf numFmtId="3" fontId="8" fillId="34" borderId="60" xfId="60" applyNumberFormat="1" applyFont="1" applyFill="1" applyBorder="1" applyAlignment="1">
      <alignment horizontal="right" vertical="center"/>
      <protection/>
    </xf>
    <xf numFmtId="3" fontId="8" fillId="35" borderId="39" xfId="60" applyNumberFormat="1" applyFont="1" applyFill="1" applyBorder="1" applyAlignment="1">
      <alignment horizontal="right" vertical="center"/>
      <protection/>
    </xf>
    <xf numFmtId="3" fontId="3" fillId="34" borderId="62" xfId="60" applyNumberFormat="1" applyFont="1" applyFill="1" applyBorder="1" applyAlignment="1">
      <alignment horizontal="right" vertical="center"/>
      <protection/>
    </xf>
    <xf numFmtId="3" fontId="3" fillId="35" borderId="63" xfId="60" applyNumberFormat="1" applyFont="1" applyFill="1" applyBorder="1" applyAlignment="1">
      <alignment horizontal="right" vertical="center"/>
      <protection/>
    </xf>
    <xf numFmtId="3" fontId="3" fillId="34" borderId="64" xfId="60" applyNumberFormat="1" applyFont="1" applyFill="1" applyBorder="1" applyAlignment="1">
      <alignment horizontal="right" vertical="center"/>
      <protection/>
    </xf>
    <xf numFmtId="3" fontId="3" fillId="34" borderId="64" xfId="60" applyNumberFormat="1" applyFont="1" applyFill="1" applyBorder="1" applyAlignment="1">
      <alignment vertical="center"/>
      <protection/>
    </xf>
    <xf numFmtId="3" fontId="3" fillId="34" borderId="60" xfId="60" applyNumberFormat="1" applyFont="1" applyFill="1" applyBorder="1" applyAlignment="1">
      <alignment vertical="center"/>
      <protection/>
    </xf>
    <xf numFmtId="3" fontId="8" fillId="34" borderId="65" xfId="60" applyNumberFormat="1" applyFont="1" applyFill="1" applyBorder="1" applyAlignment="1">
      <alignment horizontal="right" vertical="center"/>
      <protection/>
    </xf>
    <xf numFmtId="3" fontId="8" fillId="35" borderId="66" xfId="60" applyNumberFormat="1" applyFont="1" applyFill="1" applyBorder="1" applyAlignment="1">
      <alignment horizontal="right" vertical="center"/>
      <protection/>
    </xf>
    <xf numFmtId="3" fontId="8" fillId="35" borderId="67" xfId="60" applyNumberFormat="1" applyFont="1" applyFill="1" applyBorder="1" applyAlignment="1">
      <alignment horizontal="right" vertical="center"/>
      <protection/>
    </xf>
    <xf numFmtId="3" fontId="3" fillId="34" borderId="68" xfId="60" applyNumberFormat="1" applyFont="1" applyFill="1" applyBorder="1" applyAlignment="1">
      <alignment horizontal="right" vertical="center"/>
      <protection/>
    </xf>
    <xf numFmtId="3" fontId="3" fillId="35" borderId="69" xfId="60" applyNumberFormat="1" applyFont="1" applyFill="1" applyBorder="1" applyAlignment="1">
      <alignment horizontal="right" vertical="center"/>
      <protection/>
    </xf>
    <xf numFmtId="3" fontId="3" fillId="35" borderId="70" xfId="60" applyNumberFormat="1" applyFont="1" applyFill="1" applyBorder="1" applyAlignment="1">
      <alignment horizontal="right" vertical="center"/>
      <protection/>
    </xf>
    <xf numFmtId="176" fontId="3" fillId="34" borderId="47" xfId="60" applyNumberFormat="1" applyFont="1" applyFill="1" applyBorder="1" applyAlignment="1">
      <alignment horizontal="right" vertical="center"/>
      <protection/>
    </xf>
    <xf numFmtId="176" fontId="3" fillId="35" borderId="36" xfId="60" applyNumberFormat="1" applyFont="1" applyFill="1" applyBorder="1" applyAlignment="1">
      <alignment horizontal="right" vertical="center"/>
      <protection/>
    </xf>
    <xf numFmtId="176" fontId="3" fillId="35" borderId="71" xfId="60" applyNumberFormat="1" applyFont="1" applyFill="1" applyBorder="1" applyAlignment="1">
      <alignment horizontal="right" vertical="center"/>
      <protection/>
    </xf>
    <xf numFmtId="176" fontId="3" fillId="34" borderId="59" xfId="60" applyNumberFormat="1" applyFont="1" applyFill="1" applyBorder="1" applyAlignment="1">
      <alignment horizontal="right" vertical="center"/>
      <protection/>
    </xf>
    <xf numFmtId="176" fontId="3" fillId="34" borderId="36" xfId="60" applyNumberFormat="1" applyFont="1" applyFill="1" applyBorder="1" applyAlignment="1">
      <alignment horizontal="right" vertical="center"/>
      <protection/>
    </xf>
    <xf numFmtId="176" fontId="3" fillId="34" borderId="72" xfId="60" applyNumberFormat="1" applyFont="1" applyFill="1" applyBorder="1" applyAlignment="1">
      <alignment horizontal="right" vertical="center"/>
      <protection/>
    </xf>
    <xf numFmtId="176" fontId="3" fillId="35" borderId="39" xfId="60" applyNumberFormat="1" applyFont="1" applyFill="1" applyBorder="1" applyAlignment="1">
      <alignment horizontal="right" vertical="center"/>
      <protection/>
    </xf>
    <xf numFmtId="176" fontId="3" fillId="35" borderId="73" xfId="60" applyNumberFormat="1" applyFont="1" applyFill="1" applyBorder="1" applyAlignment="1">
      <alignment horizontal="right" vertical="center"/>
      <protection/>
    </xf>
    <xf numFmtId="176" fontId="3" fillId="34" borderId="60" xfId="60" applyNumberFormat="1" applyFont="1" applyFill="1" applyBorder="1" applyAlignment="1">
      <alignment horizontal="right" vertical="center"/>
      <protection/>
    </xf>
    <xf numFmtId="176" fontId="3" fillId="34" borderId="73" xfId="60" applyNumberFormat="1" applyFont="1" applyFill="1" applyBorder="1" applyAlignment="1">
      <alignment horizontal="right" vertical="center"/>
      <protection/>
    </xf>
    <xf numFmtId="176" fontId="8" fillId="34" borderId="74" xfId="60" applyNumberFormat="1" applyFont="1" applyFill="1" applyBorder="1" applyAlignment="1">
      <alignment horizontal="right" vertical="center"/>
      <protection/>
    </xf>
    <xf numFmtId="176" fontId="8" fillId="35" borderId="75" xfId="60" applyNumberFormat="1" applyFont="1" applyFill="1" applyBorder="1" applyAlignment="1">
      <alignment horizontal="right" vertical="center"/>
      <protection/>
    </xf>
    <xf numFmtId="176" fontId="8" fillId="35" borderId="76" xfId="60" applyNumberFormat="1" applyFont="1" applyFill="1" applyBorder="1" applyAlignment="1">
      <alignment horizontal="right" vertical="center"/>
      <protection/>
    </xf>
    <xf numFmtId="176" fontId="8" fillId="34" borderId="77" xfId="60" applyNumberFormat="1" applyFont="1" applyFill="1" applyBorder="1" applyAlignment="1">
      <alignment horizontal="right" vertical="center"/>
      <protection/>
    </xf>
    <xf numFmtId="176" fontId="8" fillId="34" borderId="76" xfId="60" applyNumberFormat="1" applyFont="1" applyFill="1" applyBorder="1" applyAlignment="1">
      <alignment horizontal="right" vertical="center"/>
      <protection/>
    </xf>
    <xf numFmtId="176" fontId="10" fillId="0" borderId="78" xfId="60" applyNumberFormat="1" applyFont="1" applyFill="1" applyBorder="1" applyAlignment="1">
      <alignment horizontal="right" vertical="center"/>
      <protection/>
    </xf>
    <xf numFmtId="176" fontId="10" fillId="0" borderId="79" xfId="60" applyNumberFormat="1" applyFont="1" applyFill="1" applyBorder="1" applyAlignment="1">
      <alignment horizontal="right" vertical="center"/>
      <protection/>
    </xf>
    <xf numFmtId="176" fontId="10" fillId="0" borderId="80" xfId="60" applyNumberFormat="1" applyFont="1" applyFill="1" applyBorder="1" applyAlignment="1">
      <alignment horizontal="right" vertical="center"/>
      <protection/>
    </xf>
    <xf numFmtId="176" fontId="3" fillId="0" borderId="81" xfId="60" applyNumberFormat="1" applyFont="1" applyFill="1" applyBorder="1" applyAlignment="1">
      <alignment horizontal="right" vertical="center"/>
      <protection/>
    </xf>
    <xf numFmtId="176" fontId="3" fillId="0" borderId="82" xfId="60" applyNumberFormat="1" applyFont="1" applyFill="1" applyBorder="1" applyAlignment="1">
      <alignment horizontal="right" vertical="center"/>
      <protection/>
    </xf>
    <xf numFmtId="176" fontId="3" fillId="0" borderId="83" xfId="60" applyNumberFormat="1" applyFont="1" applyFill="1" applyBorder="1" applyAlignment="1">
      <alignment horizontal="right" vertical="center"/>
      <protection/>
    </xf>
    <xf numFmtId="176" fontId="3" fillId="34" borderId="71" xfId="60" applyNumberFormat="1" applyFont="1" applyFill="1" applyBorder="1" applyAlignment="1">
      <alignment horizontal="right" vertical="center"/>
      <protection/>
    </xf>
    <xf numFmtId="176" fontId="3" fillId="34" borderId="84" xfId="60" applyNumberFormat="1" applyFont="1" applyFill="1" applyBorder="1" applyAlignment="1">
      <alignment horizontal="right" vertical="center"/>
      <protection/>
    </xf>
    <xf numFmtId="176" fontId="3" fillId="28" borderId="71" xfId="60" applyNumberFormat="1" applyFont="1" applyFill="1" applyBorder="1" applyAlignment="1">
      <alignment horizontal="right" vertical="center"/>
      <protection/>
    </xf>
    <xf numFmtId="176" fontId="3" fillId="34" borderId="85" xfId="60" applyNumberFormat="1" applyFont="1" applyFill="1" applyBorder="1" applyAlignment="1">
      <alignment horizontal="right" vertical="center"/>
      <protection/>
    </xf>
    <xf numFmtId="176" fontId="3" fillId="34" borderId="86" xfId="60" applyNumberFormat="1" applyFont="1" applyFill="1" applyBorder="1" applyAlignment="1">
      <alignment horizontal="right" vertical="center"/>
      <protection/>
    </xf>
    <xf numFmtId="176" fontId="3" fillId="34" borderId="87" xfId="60" applyNumberFormat="1" applyFont="1" applyFill="1" applyBorder="1" applyAlignment="1">
      <alignment horizontal="right" vertical="center"/>
      <protection/>
    </xf>
    <xf numFmtId="176" fontId="3" fillId="0" borderId="88" xfId="60" applyNumberFormat="1" applyFont="1" applyFill="1" applyBorder="1" applyAlignment="1">
      <alignment horizontal="right" vertical="center"/>
      <protection/>
    </xf>
    <xf numFmtId="176" fontId="3" fillId="0" borderId="89" xfId="60" applyNumberFormat="1" applyFont="1" applyFill="1" applyBorder="1" applyAlignment="1">
      <alignment horizontal="right" vertical="center"/>
      <protection/>
    </xf>
    <xf numFmtId="176" fontId="3" fillId="0" borderId="90" xfId="60" applyNumberFormat="1" applyFont="1" applyFill="1" applyBorder="1" applyAlignment="1">
      <alignment horizontal="right" vertical="center"/>
      <protection/>
    </xf>
    <xf numFmtId="176" fontId="3" fillId="0" borderId="91" xfId="60" applyNumberFormat="1" applyFont="1" applyFill="1" applyBorder="1" applyAlignment="1">
      <alignment horizontal="right" vertical="center"/>
      <protection/>
    </xf>
    <xf numFmtId="176" fontId="3" fillId="0" borderId="92" xfId="60" applyNumberFormat="1" applyFont="1" applyFill="1" applyBorder="1" applyAlignment="1">
      <alignment horizontal="right" vertical="center"/>
      <protection/>
    </xf>
    <xf numFmtId="176" fontId="3" fillId="0" borderId="93" xfId="60" applyNumberFormat="1" applyFont="1" applyFill="1" applyBorder="1" applyAlignment="1">
      <alignment horizontal="right" vertical="center"/>
      <protection/>
    </xf>
    <xf numFmtId="176" fontId="8" fillId="34" borderId="44" xfId="60" applyNumberFormat="1" applyFont="1" applyFill="1" applyBorder="1" applyAlignment="1">
      <alignment horizontal="right" vertical="center"/>
      <protection/>
    </xf>
    <xf numFmtId="176" fontId="8" fillId="35" borderId="69" xfId="60" applyNumberFormat="1" applyFont="1" applyFill="1" applyBorder="1" applyAlignment="1">
      <alignment horizontal="right" vertical="center"/>
      <protection/>
    </xf>
    <xf numFmtId="176" fontId="8" fillId="35" borderId="94" xfId="60" applyNumberFormat="1" applyFont="1" applyFill="1" applyBorder="1" applyAlignment="1">
      <alignment horizontal="right" vertical="center"/>
      <protection/>
    </xf>
    <xf numFmtId="176" fontId="8" fillId="34" borderId="95" xfId="60" applyNumberFormat="1" applyFont="1" applyFill="1" applyBorder="1" applyAlignment="1">
      <alignment horizontal="right" vertical="center"/>
      <protection/>
    </xf>
    <xf numFmtId="176" fontId="8" fillId="34" borderId="96" xfId="60" applyNumberFormat="1" applyFont="1" applyFill="1" applyBorder="1" applyAlignment="1">
      <alignment horizontal="right" vertical="center"/>
      <protection/>
    </xf>
    <xf numFmtId="176" fontId="8" fillId="34" borderId="97" xfId="60" applyNumberFormat="1" applyFont="1" applyFill="1" applyBorder="1" applyAlignment="1">
      <alignment horizontal="right" vertical="center"/>
      <protection/>
    </xf>
    <xf numFmtId="3" fontId="3" fillId="34" borderId="98" xfId="60" applyNumberFormat="1" applyFont="1" applyFill="1" applyBorder="1" applyAlignment="1">
      <alignment horizontal="right" vertical="center"/>
      <protection/>
    </xf>
    <xf numFmtId="3" fontId="3" fillId="35" borderId="51" xfId="60" applyNumberFormat="1" applyFont="1" applyFill="1" applyBorder="1" applyAlignment="1">
      <alignment horizontal="right" vertical="center"/>
      <protection/>
    </xf>
    <xf numFmtId="3" fontId="3" fillId="35" borderId="99" xfId="60" applyNumberFormat="1" applyFont="1" applyFill="1" applyBorder="1" applyAlignment="1">
      <alignment horizontal="right" vertical="center"/>
      <protection/>
    </xf>
    <xf numFmtId="3" fontId="8" fillId="35" borderId="61" xfId="60" applyNumberFormat="1" applyFont="1" applyFill="1" applyBorder="1" applyAlignment="1">
      <alignment horizontal="right" vertical="center"/>
      <protection/>
    </xf>
    <xf numFmtId="3" fontId="3" fillId="34" borderId="100" xfId="60" applyNumberFormat="1" applyFont="1" applyFill="1" applyBorder="1" applyAlignment="1">
      <alignment vertical="center"/>
      <protection/>
    </xf>
    <xf numFmtId="3" fontId="3" fillId="34" borderId="101" xfId="60" applyNumberFormat="1" applyFont="1" applyFill="1" applyBorder="1" applyAlignment="1">
      <alignment vertical="center"/>
      <protection/>
    </xf>
    <xf numFmtId="3" fontId="3" fillId="34" borderId="102" xfId="60" applyNumberFormat="1" applyFont="1" applyFill="1" applyBorder="1" applyAlignment="1">
      <alignment vertical="center"/>
      <protection/>
    </xf>
    <xf numFmtId="3" fontId="3" fillId="34" borderId="24" xfId="60" applyNumberFormat="1" applyFont="1" applyFill="1" applyBorder="1" applyAlignment="1">
      <alignment vertical="center"/>
      <protection/>
    </xf>
    <xf numFmtId="0" fontId="3" fillId="0" borderId="103" xfId="60" applyFont="1" applyBorder="1" applyAlignment="1">
      <alignment horizontal="distributed" vertical="center" wrapText="1"/>
      <protection/>
    </xf>
    <xf numFmtId="0" fontId="3" fillId="0" borderId="103" xfId="60" applyFont="1" applyBorder="1" applyAlignment="1">
      <alignment horizontal="distributed" vertical="center"/>
      <protection/>
    </xf>
    <xf numFmtId="0" fontId="3" fillId="0" borderId="104" xfId="60" applyFont="1" applyBorder="1" applyAlignment="1">
      <alignment horizontal="distributed" vertical="center"/>
      <protection/>
    </xf>
    <xf numFmtId="0" fontId="3" fillId="0" borderId="105" xfId="60" applyFont="1" applyBorder="1" applyAlignment="1">
      <alignment horizontal="distributed" vertical="center" wrapText="1"/>
      <protection/>
    </xf>
    <xf numFmtId="0" fontId="3" fillId="0" borderId="106" xfId="60" applyFont="1" applyBorder="1" applyAlignment="1">
      <alignment horizontal="distributed" vertical="center"/>
      <protection/>
    </xf>
    <xf numFmtId="0" fontId="8" fillId="0" borderId="107" xfId="60" applyFont="1" applyBorder="1" applyAlignment="1">
      <alignment horizontal="distributed" vertical="center"/>
      <protection/>
    </xf>
    <xf numFmtId="0" fontId="8" fillId="0" borderId="108" xfId="60" applyFont="1" applyBorder="1" applyAlignment="1">
      <alignment horizontal="distributed" vertical="center"/>
      <protection/>
    </xf>
    <xf numFmtId="0" fontId="3" fillId="0" borderId="23" xfId="60" applyFont="1" applyBorder="1" applyAlignment="1">
      <alignment horizontal="distributed" vertical="center"/>
      <protection/>
    </xf>
    <xf numFmtId="0" fontId="3" fillId="0" borderId="109" xfId="60" applyFont="1" applyBorder="1" applyAlignment="1">
      <alignment horizontal="distributed" vertical="center"/>
      <protection/>
    </xf>
    <xf numFmtId="0" fontId="3" fillId="0" borderId="110" xfId="60" applyFont="1" applyBorder="1" applyAlignment="1">
      <alignment vertical="top" wrapText="1"/>
      <protection/>
    </xf>
    <xf numFmtId="0" fontId="3" fillId="0" borderId="0" xfId="60" applyFont="1" applyAlignment="1">
      <alignment vertical="top" wrapText="1"/>
      <protection/>
    </xf>
    <xf numFmtId="0" fontId="12" fillId="0" borderId="0" xfId="60" applyFont="1" applyAlignment="1">
      <alignment horizontal="center" vertical="top"/>
      <protection/>
    </xf>
    <xf numFmtId="0" fontId="3" fillId="0" borderId="0" xfId="60" applyFont="1" applyAlignment="1">
      <alignment horizontal="left" vertical="top"/>
      <protection/>
    </xf>
    <xf numFmtId="0" fontId="3" fillId="0" borderId="111" xfId="60" applyFont="1" applyBorder="1" applyAlignment="1">
      <alignment horizontal="center" vertical="center"/>
      <protection/>
    </xf>
    <xf numFmtId="0" fontId="3" fillId="0" borderId="112" xfId="60" applyFont="1" applyBorder="1" applyAlignment="1">
      <alignment horizontal="center" vertical="center"/>
      <protection/>
    </xf>
    <xf numFmtId="0" fontId="3" fillId="0" borderId="113" xfId="60" applyFont="1" applyBorder="1" applyAlignment="1">
      <alignment horizontal="center" vertical="center"/>
      <protection/>
    </xf>
    <xf numFmtId="0" fontId="3" fillId="0" borderId="114" xfId="60" applyFont="1" applyBorder="1" applyAlignment="1">
      <alignment horizontal="center" vertical="center"/>
      <protection/>
    </xf>
    <xf numFmtId="0" fontId="3" fillId="0" borderId="115" xfId="60" applyFont="1" applyBorder="1" applyAlignment="1">
      <alignment horizontal="center" vertical="center"/>
      <protection/>
    </xf>
    <xf numFmtId="0" fontId="3" fillId="0" borderId="116" xfId="60" applyFont="1" applyBorder="1" applyAlignment="1">
      <alignment horizontal="center" vertical="center"/>
      <protection/>
    </xf>
    <xf numFmtId="0" fontId="3" fillId="0" borderId="117" xfId="60" applyFont="1" applyBorder="1" applyAlignment="1">
      <alignment horizontal="center" vertical="center"/>
      <protection/>
    </xf>
    <xf numFmtId="0" fontId="3" fillId="0" borderId="118"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9" xfId="60" applyFont="1" applyBorder="1" applyAlignment="1">
      <alignment horizontal="center" vertical="center"/>
      <protection/>
    </xf>
    <xf numFmtId="0" fontId="3" fillId="0" borderId="119" xfId="60" applyFont="1" applyBorder="1" applyAlignment="1">
      <alignment horizontal="center" vertical="center"/>
      <protection/>
    </xf>
    <xf numFmtId="0" fontId="3" fillId="0" borderId="104" xfId="60" applyFont="1" applyBorder="1" applyAlignment="1">
      <alignment horizontal="center" vertical="center"/>
      <protection/>
    </xf>
    <xf numFmtId="0" fontId="3" fillId="0" borderId="105" xfId="60" applyFont="1" applyBorder="1" applyAlignment="1">
      <alignment horizontal="center" vertical="center"/>
      <protection/>
    </xf>
    <xf numFmtId="0" fontId="3" fillId="0" borderId="120" xfId="60" applyFont="1" applyBorder="1" applyAlignment="1">
      <alignment horizontal="center" vertical="center"/>
      <protection/>
    </xf>
    <xf numFmtId="0" fontId="3" fillId="0" borderId="121" xfId="60" applyFont="1" applyBorder="1" applyAlignment="1">
      <alignment horizontal="center" vertical="center"/>
      <protection/>
    </xf>
    <xf numFmtId="0" fontId="3" fillId="0" borderId="110" xfId="60" applyFont="1" applyBorder="1" applyAlignment="1">
      <alignment horizontal="center" vertical="center"/>
      <protection/>
    </xf>
    <xf numFmtId="0" fontId="3" fillId="0" borderId="122" xfId="60" applyFont="1" applyBorder="1" applyAlignment="1">
      <alignment horizontal="center" vertical="center"/>
      <protection/>
    </xf>
    <xf numFmtId="0" fontId="3" fillId="0" borderId="123" xfId="60" applyFont="1" applyBorder="1" applyAlignment="1">
      <alignment horizontal="center" vertical="center"/>
      <protection/>
    </xf>
    <xf numFmtId="0" fontId="3" fillId="0" borderId="124" xfId="60" applyFont="1" applyBorder="1" applyAlignment="1">
      <alignment horizontal="center" vertical="center"/>
      <protection/>
    </xf>
    <xf numFmtId="0" fontId="3" fillId="0" borderId="110" xfId="60" applyFont="1" applyBorder="1" applyAlignment="1">
      <alignment horizontal="left" vertical="center"/>
      <protection/>
    </xf>
    <xf numFmtId="0" fontId="3" fillId="0" borderId="0" xfId="60" applyFont="1" applyAlignment="1">
      <alignment horizontal="left" vertical="center"/>
      <protection/>
    </xf>
    <xf numFmtId="0" fontId="3" fillId="0" borderId="55" xfId="60" applyFont="1" applyBorder="1" applyAlignment="1">
      <alignment horizontal="distributed" vertical="center" wrapText="1"/>
      <protection/>
    </xf>
    <xf numFmtId="0" fontId="3" fillId="0" borderId="125" xfId="60" applyFont="1" applyBorder="1" applyAlignment="1">
      <alignment horizontal="distributed" vertical="center" wrapText="1"/>
      <protection/>
    </xf>
    <xf numFmtId="0" fontId="3" fillId="0" borderId="126" xfId="60" applyFont="1" applyBorder="1" applyAlignment="1">
      <alignment horizontal="distributed" vertical="center" wrapText="1"/>
      <protection/>
    </xf>
    <xf numFmtId="0" fontId="3" fillId="0" borderId="127" xfId="60" applyFont="1" applyBorder="1" applyAlignment="1">
      <alignment horizontal="center" vertical="center"/>
      <protection/>
    </xf>
    <xf numFmtId="0" fontId="3" fillId="0" borderId="128" xfId="60" applyFont="1" applyBorder="1" applyAlignment="1">
      <alignment horizontal="center" vertical="center"/>
      <protection/>
    </xf>
    <xf numFmtId="0" fontId="3" fillId="0" borderId="129" xfId="60" applyFont="1" applyBorder="1" applyAlignment="1">
      <alignment horizontal="center" vertical="center"/>
      <protection/>
    </xf>
    <xf numFmtId="0" fontId="3" fillId="0" borderId="130" xfId="60" applyFont="1" applyBorder="1" applyAlignment="1">
      <alignment horizontal="center" vertical="center" wrapText="1"/>
      <protection/>
    </xf>
    <xf numFmtId="0" fontId="3" fillId="0" borderId="131" xfId="60" applyFont="1" applyBorder="1" applyAlignment="1">
      <alignment horizontal="center" vertical="center"/>
      <protection/>
    </xf>
    <xf numFmtId="0" fontId="3" fillId="0" borderId="132" xfId="60" applyFont="1" applyBorder="1" applyAlignment="1">
      <alignment horizontal="center" vertical="center"/>
      <protection/>
    </xf>
    <xf numFmtId="0" fontId="3" fillId="0" borderId="130" xfId="60" applyFont="1" applyBorder="1" applyAlignment="1">
      <alignment horizontal="center" vertical="center"/>
      <protection/>
    </xf>
    <xf numFmtId="0" fontId="3" fillId="0" borderId="111" xfId="60" applyFont="1" applyBorder="1" applyAlignment="1">
      <alignment horizontal="distributed" vertical="center"/>
      <protection/>
    </xf>
    <xf numFmtId="0" fontId="3" fillId="0" borderId="113" xfId="60" applyFont="1" applyBorder="1" applyAlignment="1">
      <alignment horizontal="distributed" vertical="center"/>
      <protection/>
    </xf>
    <xf numFmtId="0" fontId="3" fillId="0" borderId="133" xfId="60" applyFont="1" applyBorder="1" applyAlignment="1">
      <alignment horizontal="distributed" vertical="center"/>
      <protection/>
    </xf>
    <xf numFmtId="0" fontId="3" fillId="0" borderId="134" xfId="60" applyFont="1" applyBorder="1" applyAlignment="1">
      <alignment horizontal="center" vertical="center"/>
      <protection/>
    </xf>
    <xf numFmtId="0" fontId="3" fillId="0" borderId="135" xfId="60" applyFont="1" applyBorder="1" applyAlignment="1">
      <alignment horizontal="left" vertical="center"/>
      <protection/>
    </xf>
    <xf numFmtId="0" fontId="3" fillId="0" borderId="136" xfId="60" applyFont="1" applyBorder="1" applyAlignment="1">
      <alignment horizontal="distributed" vertical="center" wrapText="1"/>
      <protection/>
    </xf>
    <xf numFmtId="0" fontId="3" fillId="0" borderId="137" xfId="60" applyFont="1" applyBorder="1" applyAlignment="1">
      <alignment horizontal="distributed" vertical="center"/>
      <protection/>
    </xf>
    <xf numFmtId="0" fontId="3" fillId="0" borderId="138" xfId="60" applyFont="1" applyBorder="1" applyAlignment="1">
      <alignment horizontal="distributed" vertical="center" wrapText="1"/>
      <protection/>
    </xf>
    <xf numFmtId="0" fontId="3" fillId="0" borderId="139" xfId="60" applyFont="1" applyBorder="1" applyAlignment="1">
      <alignment horizontal="distributed" vertical="center" wrapText="1"/>
      <protection/>
    </xf>
    <xf numFmtId="0" fontId="3" fillId="0" borderId="34" xfId="60" applyFont="1" applyBorder="1" applyAlignment="1">
      <alignment horizontal="center" vertical="center"/>
      <protection/>
    </xf>
    <xf numFmtId="0" fontId="3" fillId="0" borderId="134" xfId="60" applyFont="1" applyBorder="1" applyAlignment="1">
      <alignment horizontal="center" vertical="center" wrapText="1"/>
      <protection/>
    </xf>
    <xf numFmtId="0" fontId="3" fillId="0" borderId="140" xfId="60" applyFont="1" applyBorder="1" applyAlignment="1">
      <alignment horizontal="center" vertical="center"/>
      <protection/>
    </xf>
    <xf numFmtId="0" fontId="3" fillId="0" borderId="141" xfId="60" applyFont="1" applyBorder="1" applyAlignment="1">
      <alignment horizontal="center" vertical="center"/>
      <protection/>
    </xf>
    <xf numFmtId="0" fontId="3" fillId="0" borderId="142" xfId="60" applyFont="1" applyBorder="1" applyAlignment="1">
      <alignment horizontal="distributed" vertical="center" wrapText="1"/>
      <protection/>
    </xf>
    <xf numFmtId="0" fontId="3" fillId="0" borderId="143" xfId="60" applyFont="1" applyBorder="1" applyAlignment="1">
      <alignment horizontal="distributed"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tabSelected="1" zoomScaleSheetLayoutView="100" workbookViewId="0" topLeftCell="A1">
      <selection activeCell="A1" sqref="A1:K1"/>
    </sheetView>
  </sheetViews>
  <sheetFormatPr defaultColWidth="5.8515625" defaultRowHeight="15"/>
  <cols>
    <col min="1" max="1" width="9.8515625" style="2" customWidth="1"/>
    <col min="2" max="2" width="17.28125" style="2" customWidth="1"/>
    <col min="3" max="3" width="2.8515625" style="2" customWidth="1"/>
    <col min="4" max="4" width="7.421875" style="2" customWidth="1"/>
    <col min="5" max="5" width="12.57421875" style="2" customWidth="1"/>
    <col min="6" max="6" width="2.8515625" style="2" customWidth="1"/>
    <col min="7" max="7" width="7.421875" style="2" customWidth="1"/>
    <col min="8" max="8" width="12.57421875" style="2" customWidth="1"/>
    <col min="9" max="9" width="2.8515625" style="2" customWidth="1"/>
    <col min="10" max="10" width="7.421875" style="2" customWidth="1"/>
    <col min="11" max="11" width="12.57421875" style="2" customWidth="1"/>
    <col min="12" max="16384" width="5.8515625" style="2" customWidth="1"/>
  </cols>
  <sheetData>
    <row r="1" spans="1:11" ht="15">
      <c r="A1" s="172" t="s">
        <v>126</v>
      </c>
      <c r="B1" s="172"/>
      <c r="C1" s="172"/>
      <c r="D1" s="172"/>
      <c r="E1" s="172"/>
      <c r="F1" s="172"/>
      <c r="G1" s="172"/>
      <c r="H1" s="172"/>
      <c r="I1" s="172"/>
      <c r="J1" s="172"/>
      <c r="K1" s="172"/>
    </row>
    <row r="2" spans="1:11" ht="15">
      <c r="A2" s="43"/>
      <c r="B2" s="43"/>
      <c r="C2" s="43"/>
      <c r="D2" s="43"/>
      <c r="E2" s="43"/>
      <c r="F2" s="43"/>
      <c r="G2" s="43"/>
      <c r="H2" s="43"/>
      <c r="I2" s="43"/>
      <c r="J2" s="43"/>
      <c r="K2" s="43"/>
    </row>
    <row r="3" spans="1:11" ht="12" thickBot="1">
      <c r="A3" s="173" t="s">
        <v>149</v>
      </c>
      <c r="B3" s="173"/>
      <c r="C3" s="173"/>
      <c r="D3" s="173"/>
      <c r="E3" s="173"/>
      <c r="F3" s="173"/>
      <c r="G3" s="173"/>
      <c r="H3" s="173"/>
      <c r="I3" s="173"/>
      <c r="J3" s="173"/>
      <c r="K3" s="173"/>
    </row>
    <row r="4" spans="1:11" ht="24" customHeight="1">
      <c r="A4" s="174" t="s">
        <v>127</v>
      </c>
      <c r="B4" s="175"/>
      <c r="C4" s="178" t="s">
        <v>150</v>
      </c>
      <c r="D4" s="179"/>
      <c r="E4" s="180"/>
      <c r="F4" s="178" t="s">
        <v>151</v>
      </c>
      <c r="G4" s="179"/>
      <c r="H4" s="180"/>
      <c r="I4" s="178" t="s">
        <v>152</v>
      </c>
      <c r="J4" s="179"/>
      <c r="K4" s="181"/>
    </row>
    <row r="5" spans="1:11" ht="24" customHeight="1">
      <c r="A5" s="176"/>
      <c r="B5" s="177"/>
      <c r="C5" s="182" t="s">
        <v>129</v>
      </c>
      <c r="D5" s="183"/>
      <c r="E5" s="44" t="s">
        <v>130</v>
      </c>
      <c r="F5" s="182" t="s">
        <v>129</v>
      </c>
      <c r="G5" s="183"/>
      <c r="H5" s="44" t="s">
        <v>130</v>
      </c>
      <c r="I5" s="182" t="s">
        <v>129</v>
      </c>
      <c r="J5" s="183"/>
      <c r="K5" s="45" t="s">
        <v>130</v>
      </c>
    </row>
    <row r="6" spans="1:11" ht="12" customHeight="1">
      <c r="A6" s="46"/>
      <c r="B6" s="47"/>
      <c r="C6" s="48"/>
      <c r="D6" s="32" t="s">
        <v>131</v>
      </c>
      <c r="E6" s="7" t="s">
        <v>132</v>
      </c>
      <c r="F6" s="48"/>
      <c r="G6" s="32" t="s">
        <v>131</v>
      </c>
      <c r="H6" s="7" t="s">
        <v>132</v>
      </c>
      <c r="I6" s="48"/>
      <c r="J6" s="32" t="s">
        <v>131</v>
      </c>
      <c r="K6" s="49" t="s">
        <v>132</v>
      </c>
    </row>
    <row r="7" spans="1:11" ht="30" customHeight="1">
      <c r="A7" s="161" t="s">
        <v>153</v>
      </c>
      <c r="B7" s="50" t="s">
        <v>154</v>
      </c>
      <c r="C7" s="51"/>
      <c r="D7" s="97">
        <v>102549</v>
      </c>
      <c r="E7" s="52">
        <v>60174892</v>
      </c>
      <c r="F7" s="53"/>
      <c r="G7" s="97">
        <v>219934</v>
      </c>
      <c r="H7" s="52">
        <v>2270134326</v>
      </c>
      <c r="I7" s="53"/>
      <c r="J7" s="97">
        <v>322483</v>
      </c>
      <c r="K7" s="54">
        <v>2330309218</v>
      </c>
    </row>
    <row r="8" spans="1:11" ht="30" customHeight="1">
      <c r="A8" s="162"/>
      <c r="B8" s="55" t="s">
        <v>155</v>
      </c>
      <c r="C8" s="51"/>
      <c r="D8" s="98">
        <v>89825</v>
      </c>
      <c r="E8" s="99">
        <v>40212199</v>
      </c>
      <c r="F8" s="53"/>
      <c r="G8" s="98">
        <v>66876</v>
      </c>
      <c r="H8" s="99">
        <v>42308559</v>
      </c>
      <c r="I8" s="53"/>
      <c r="J8" s="98">
        <v>156701</v>
      </c>
      <c r="K8" s="100">
        <v>82520759</v>
      </c>
    </row>
    <row r="9" spans="1:11" s="58" customFormat="1" ht="30" customHeight="1">
      <c r="A9" s="162"/>
      <c r="B9" s="56" t="s">
        <v>156</v>
      </c>
      <c r="C9" s="57"/>
      <c r="D9" s="101">
        <v>192374</v>
      </c>
      <c r="E9" s="102">
        <v>100387092</v>
      </c>
      <c r="F9" s="57"/>
      <c r="G9" s="101">
        <v>286810</v>
      </c>
      <c r="H9" s="102">
        <v>2312442885</v>
      </c>
      <c r="I9" s="57"/>
      <c r="J9" s="101">
        <v>479184</v>
      </c>
      <c r="K9" s="156">
        <v>2412829977</v>
      </c>
    </row>
    <row r="10" spans="1:11" ht="30" customHeight="1">
      <c r="A10" s="163"/>
      <c r="B10" s="59" t="s">
        <v>157</v>
      </c>
      <c r="C10" s="51"/>
      <c r="D10" s="103">
        <v>7649</v>
      </c>
      <c r="E10" s="104">
        <v>5913994</v>
      </c>
      <c r="F10" s="51"/>
      <c r="G10" s="103">
        <v>27560</v>
      </c>
      <c r="H10" s="104">
        <v>585242584</v>
      </c>
      <c r="I10" s="51"/>
      <c r="J10" s="98">
        <v>35209</v>
      </c>
      <c r="K10" s="100">
        <v>591156577</v>
      </c>
    </row>
    <row r="11" spans="1:11" ht="30" customHeight="1">
      <c r="A11" s="164" t="s">
        <v>158</v>
      </c>
      <c r="B11" s="60" t="s">
        <v>159</v>
      </c>
      <c r="C11" s="61"/>
      <c r="D11" s="105">
        <v>14362</v>
      </c>
      <c r="E11" s="62">
        <v>4280306</v>
      </c>
      <c r="F11" s="63"/>
      <c r="G11" s="106">
        <v>16506</v>
      </c>
      <c r="H11" s="62">
        <v>8920992</v>
      </c>
      <c r="I11" s="63"/>
      <c r="J11" s="106">
        <v>30868</v>
      </c>
      <c r="K11" s="64">
        <v>13201298</v>
      </c>
    </row>
    <row r="12" spans="1:11" ht="30" customHeight="1">
      <c r="A12" s="165"/>
      <c r="B12" s="65" t="s">
        <v>160</v>
      </c>
      <c r="C12" s="66"/>
      <c r="D12" s="98">
        <v>1553</v>
      </c>
      <c r="E12" s="99">
        <v>451901</v>
      </c>
      <c r="F12" s="67"/>
      <c r="G12" s="107">
        <v>2825</v>
      </c>
      <c r="H12" s="99">
        <v>4182601</v>
      </c>
      <c r="I12" s="67"/>
      <c r="J12" s="107">
        <v>4378</v>
      </c>
      <c r="K12" s="100">
        <v>4634502</v>
      </c>
    </row>
    <row r="13" spans="1:11" s="58" customFormat="1" ht="30" customHeight="1">
      <c r="A13" s="166" t="s">
        <v>133</v>
      </c>
      <c r="B13" s="167"/>
      <c r="C13" s="68" t="s">
        <v>134</v>
      </c>
      <c r="D13" s="108">
        <v>207134</v>
      </c>
      <c r="E13" s="109">
        <v>98301504</v>
      </c>
      <c r="F13" s="68" t="s">
        <v>134</v>
      </c>
      <c r="G13" s="108">
        <v>316492</v>
      </c>
      <c r="H13" s="109">
        <v>1731938692</v>
      </c>
      <c r="I13" s="68" t="s">
        <v>134</v>
      </c>
      <c r="J13" s="108">
        <v>523626</v>
      </c>
      <c r="K13" s="110">
        <v>1830240196</v>
      </c>
    </row>
    <row r="14" spans="1:11" ht="30" customHeight="1" thickBot="1">
      <c r="A14" s="168" t="s">
        <v>135</v>
      </c>
      <c r="B14" s="169"/>
      <c r="C14" s="69"/>
      <c r="D14" s="111">
        <v>15098</v>
      </c>
      <c r="E14" s="112">
        <v>773653</v>
      </c>
      <c r="F14" s="70"/>
      <c r="G14" s="111">
        <v>13899</v>
      </c>
      <c r="H14" s="112">
        <v>1470608</v>
      </c>
      <c r="I14" s="70"/>
      <c r="J14" s="111">
        <v>28997</v>
      </c>
      <c r="K14" s="113">
        <v>2244260</v>
      </c>
    </row>
    <row r="15" spans="1:11" s="1" customFormat="1" ht="34.5" customHeight="1">
      <c r="A15" s="170" t="s">
        <v>176</v>
      </c>
      <c r="B15" s="170"/>
      <c r="C15" s="170"/>
      <c r="D15" s="170"/>
      <c r="E15" s="170"/>
      <c r="F15" s="170"/>
      <c r="G15" s="170"/>
      <c r="H15" s="170"/>
      <c r="I15" s="170"/>
      <c r="J15" s="170"/>
      <c r="K15" s="170"/>
    </row>
    <row r="16" spans="1:11" ht="35.25" customHeight="1">
      <c r="A16" s="171" t="s">
        <v>177</v>
      </c>
      <c r="B16" s="171"/>
      <c r="C16" s="171"/>
      <c r="D16" s="171"/>
      <c r="E16" s="171"/>
      <c r="F16" s="171"/>
      <c r="G16" s="171"/>
      <c r="H16" s="171"/>
      <c r="I16" s="171"/>
      <c r="J16" s="171"/>
      <c r="K16" s="171"/>
    </row>
    <row r="17" ht="12.75" customHeight="1">
      <c r="A17" s="2" t="s">
        <v>168</v>
      </c>
    </row>
    <row r="18" ht="11.25">
      <c r="A18" s="71" t="s">
        <v>175</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A15:K15"/>
    <mergeCell ref="A16:K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&amp;R&amp;10大阪国税局
消費税
(H29)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zoomScaleSheetLayoutView="106" workbookViewId="0" topLeftCell="A1">
      <selection activeCell="A1" sqref="A1"/>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136</v>
      </c>
    </row>
    <row r="2" spans="1:8" s="2" customFormat="1" ht="15" customHeight="1">
      <c r="A2" s="174" t="s">
        <v>127</v>
      </c>
      <c r="B2" s="175"/>
      <c r="C2" s="188" t="s">
        <v>128</v>
      </c>
      <c r="D2" s="188"/>
      <c r="E2" s="188" t="s">
        <v>137</v>
      </c>
      <c r="F2" s="188"/>
      <c r="G2" s="189" t="s">
        <v>138</v>
      </c>
      <c r="H2" s="190"/>
    </row>
    <row r="3" spans="1:8" s="2" customFormat="1" ht="15" customHeight="1">
      <c r="A3" s="176"/>
      <c r="B3" s="177"/>
      <c r="C3" s="61" t="s">
        <v>139</v>
      </c>
      <c r="D3" s="44" t="s">
        <v>140</v>
      </c>
      <c r="E3" s="61" t="s">
        <v>139</v>
      </c>
      <c r="F3" s="72" t="s">
        <v>140</v>
      </c>
      <c r="G3" s="61" t="s">
        <v>139</v>
      </c>
      <c r="H3" s="73" t="s">
        <v>140</v>
      </c>
    </row>
    <row r="4" spans="1:8" s="78" customFormat="1" ht="15" customHeight="1">
      <c r="A4" s="74"/>
      <c r="B4" s="44"/>
      <c r="C4" s="75" t="s">
        <v>15</v>
      </c>
      <c r="D4" s="76" t="s">
        <v>16</v>
      </c>
      <c r="E4" s="75" t="s">
        <v>15</v>
      </c>
      <c r="F4" s="76" t="s">
        <v>16</v>
      </c>
      <c r="G4" s="75" t="s">
        <v>15</v>
      </c>
      <c r="H4" s="77" t="s">
        <v>16</v>
      </c>
    </row>
    <row r="5" spans="1:8" s="80" customFormat="1" ht="30" customHeight="1">
      <c r="A5" s="191" t="s">
        <v>148</v>
      </c>
      <c r="B5" s="50" t="s">
        <v>141</v>
      </c>
      <c r="C5" s="79">
        <v>198192</v>
      </c>
      <c r="D5" s="52">
        <v>65158565</v>
      </c>
      <c r="E5" s="79">
        <v>283367</v>
      </c>
      <c r="F5" s="52">
        <v>1323465720</v>
      </c>
      <c r="G5" s="79">
        <v>481559</v>
      </c>
      <c r="H5" s="54">
        <v>1388624285</v>
      </c>
    </row>
    <row r="6" spans="1:8" s="80" customFormat="1" ht="30" customHeight="1">
      <c r="A6" s="192"/>
      <c r="B6" s="59" t="s">
        <v>3</v>
      </c>
      <c r="C6" s="81">
        <v>6869</v>
      </c>
      <c r="D6" s="82">
        <v>3382572</v>
      </c>
      <c r="E6" s="81">
        <v>22679</v>
      </c>
      <c r="F6" s="82">
        <v>289985206</v>
      </c>
      <c r="G6" s="81">
        <v>29548</v>
      </c>
      <c r="H6" s="83">
        <v>293367779</v>
      </c>
    </row>
    <row r="7" spans="1:8" s="80" customFormat="1" ht="30" customHeight="1">
      <c r="A7" s="184" t="s">
        <v>167</v>
      </c>
      <c r="B7" s="84" t="s">
        <v>141</v>
      </c>
      <c r="C7" s="85">
        <v>195600</v>
      </c>
      <c r="D7" s="62">
        <v>90720974</v>
      </c>
      <c r="E7" s="85">
        <v>282890</v>
      </c>
      <c r="F7" s="62">
        <v>1880262994</v>
      </c>
      <c r="G7" s="85">
        <v>478490</v>
      </c>
      <c r="H7" s="64">
        <v>1970983967</v>
      </c>
    </row>
    <row r="8" spans="1:8" s="80" customFormat="1" ht="30" customHeight="1">
      <c r="A8" s="185"/>
      <c r="B8" s="59" t="s">
        <v>3</v>
      </c>
      <c r="C8" s="81">
        <v>7342</v>
      </c>
      <c r="D8" s="82">
        <v>5035032</v>
      </c>
      <c r="E8" s="81">
        <v>24440</v>
      </c>
      <c r="F8" s="82">
        <v>521553655</v>
      </c>
      <c r="G8" s="81">
        <v>31782</v>
      </c>
      <c r="H8" s="83">
        <v>526588687</v>
      </c>
    </row>
    <row r="9" spans="1:8" s="80" customFormat="1" ht="30" customHeight="1">
      <c r="A9" s="191" t="s">
        <v>171</v>
      </c>
      <c r="B9" s="84" t="s">
        <v>141</v>
      </c>
      <c r="C9" s="85">
        <v>194470</v>
      </c>
      <c r="D9" s="62">
        <v>100399718</v>
      </c>
      <c r="E9" s="85">
        <v>283438</v>
      </c>
      <c r="F9" s="62">
        <v>2147985077</v>
      </c>
      <c r="G9" s="85">
        <v>477908</v>
      </c>
      <c r="H9" s="64">
        <v>2248384795</v>
      </c>
    </row>
    <row r="10" spans="1:8" s="80" customFormat="1" ht="30" customHeight="1">
      <c r="A10" s="192"/>
      <c r="B10" s="59" t="s">
        <v>3</v>
      </c>
      <c r="C10" s="81">
        <v>7550</v>
      </c>
      <c r="D10" s="82">
        <v>6179978</v>
      </c>
      <c r="E10" s="81">
        <v>25727</v>
      </c>
      <c r="F10" s="82">
        <v>536553648</v>
      </c>
      <c r="G10" s="81">
        <v>33277</v>
      </c>
      <c r="H10" s="83">
        <v>542733626</v>
      </c>
    </row>
    <row r="11" spans="1:8" s="80" customFormat="1" ht="30" customHeight="1">
      <c r="A11" s="184" t="s">
        <v>178</v>
      </c>
      <c r="B11" s="84" t="s">
        <v>141</v>
      </c>
      <c r="C11" s="85">
        <v>193856</v>
      </c>
      <c r="D11" s="62">
        <v>101369413</v>
      </c>
      <c r="E11" s="85">
        <v>285253</v>
      </c>
      <c r="F11" s="62">
        <v>2295954449</v>
      </c>
      <c r="G11" s="85">
        <v>479109</v>
      </c>
      <c r="H11" s="64">
        <v>2397323862</v>
      </c>
    </row>
    <row r="12" spans="1:8" s="80" customFormat="1" ht="30" customHeight="1">
      <c r="A12" s="185"/>
      <c r="B12" s="59" t="s">
        <v>3</v>
      </c>
      <c r="C12" s="81">
        <v>7562</v>
      </c>
      <c r="D12" s="82">
        <v>6173705</v>
      </c>
      <c r="E12" s="81">
        <v>26565</v>
      </c>
      <c r="F12" s="82">
        <v>593585995</v>
      </c>
      <c r="G12" s="81">
        <v>34127</v>
      </c>
      <c r="H12" s="83">
        <v>599759701</v>
      </c>
    </row>
    <row r="13" spans="1:8" s="2" customFormat="1" ht="30" customHeight="1">
      <c r="A13" s="186" t="s">
        <v>179</v>
      </c>
      <c r="B13" s="84" t="s">
        <v>141</v>
      </c>
      <c r="C13" s="85">
        <v>192374</v>
      </c>
      <c r="D13" s="62">
        <v>100387092</v>
      </c>
      <c r="E13" s="85">
        <v>286810</v>
      </c>
      <c r="F13" s="62">
        <v>2312442885</v>
      </c>
      <c r="G13" s="85">
        <v>479184</v>
      </c>
      <c r="H13" s="64">
        <v>2412829977</v>
      </c>
    </row>
    <row r="14" spans="1:8" s="2" customFormat="1" ht="30" customHeight="1" thickBot="1">
      <c r="A14" s="187"/>
      <c r="B14" s="86" t="s">
        <v>3</v>
      </c>
      <c r="C14" s="153">
        <v>7649</v>
      </c>
      <c r="D14" s="154">
        <v>5913994</v>
      </c>
      <c r="E14" s="153">
        <v>27560</v>
      </c>
      <c r="F14" s="154">
        <v>585242584</v>
      </c>
      <c r="G14" s="153">
        <v>35209</v>
      </c>
      <c r="H14" s="155">
        <v>591156577</v>
      </c>
    </row>
    <row r="15" spans="5:7" s="2" customFormat="1" ht="11.25">
      <c r="E15" s="87"/>
      <c r="G15" s="87"/>
    </row>
    <row r="16" spans="5:7" s="2" customFormat="1" ht="11.25">
      <c r="E16" s="87"/>
      <c r="G16" s="87"/>
    </row>
    <row r="17" spans="5:7" s="2" customFormat="1" ht="11.25">
      <c r="E17" s="87"/>
      <c r="G17" s="87"/>
    </row>
    <row r="18" spans="5:7" s="2" customFormat="1" ht="11.25">
      <c r="E18" s="87"/>
      <c r="G18" s="87"/>
    </row>
    <row r="19" spans="5:7" s="2" customFormat="1" ht="11.25">
      <c r="E19" s="87"/>
      <c r="G19" s="87"/>
    </row>
    <row r="20" spans="5:7" s="2" customFormat="1" ht="11.25">
      <c r="E20" s="87"/>
      <c r="G20" s="87"/>
    </row>
    <row r="21" spans="5:7" s="2" customFormat="1" ht="11.25">
      <c r="E21" s="87"/>
      <c r="G21" s="87"/>
    </row>
    <row r="22" spans="5:7" s="2" customFormat="1" ht="11.25">
      <c r="E22" s="87"/>
      <c r="G22" s="87"/>
    </row>
  </sheetData>
  <sheetProtection/>
  <mergeCells count="9">
    <mergeCell ref="A11:A12"/>
    <mergeCell ref="A13:A14"/>
    <mergeCell ref="A2:B3"/>
    <mergeCell ref="C2:D2"/>
    <mergeCell ref="E2:F2"/>
    <mergeCell ref="G2:H2"/>
    <mergeCell ref="A5:A6"/>
    <mergeCell ref="A7:A8"/>
    <mergeCell ref="A9: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&amp;R&amp;10大阪国税局
消費税
(H29)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zoomScaleSheetLayoutView="175" workbookViewId="0" topLeftCell="A1">
      <selection activeCell="A1" sqref="A1"/>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2" customFormat="1" ht="20.25" customHeight="1" thickBot="1">
      <c r="A1" s="2" t="s">
        <v>142</v>
      </c>
    </row>
    <row r="2" spans="1:4" s="1" customFormat="1" ht="19.5" customHeight="1">
      <c r="A2" s="88" t="s">
        <v>143</v>
      </c>
      <c r="B2" s="89" t="s">
        <v>144</v>
      </c>
      <c r="C2" s="90" t="s">
        <v>145</v>
      </c>
      <c r="D2" s="91" t="s">
        <v>146</v>
      </c>
    </row>
    <row r="3" spans="1:4" s="78" customFormat="1" ht="15" customHeight="1">
      <c r="A3" s="92" t="s">
        <v>15</v>
      </c>
      <c r="B3" s="93" t="s">
        <v>15</v>
      </c>
      <c r="C3" s="94" t="s">
        <v>15</v>
      </c>
      <c r="D3" s="95" t="s">
        <v>15</v>
      </c>
    </row>
    <row r="4" spans="1:9" s="1" customFormat="1" ht="30" customHeight="1" thickBot="1">
      <c r="A4" s="157">
        <v>537200</v>
      </c>
      <c r="B4" s="158">
        <v>18080</v>
      </c>
      <c r="C4" s="159">
        <v>2215</v>
      </c>
      <c r="D4" s="160">
        <v>557495</v>
      </c>
      <c r="E4" s="96"/>
      <c r="G4" s="96"/>
      <c r="I4" s="96"/>
    </row>
    <row r="5" spans="1:4" s="1" customFormat="1" ht="15" customHeight="1">
      <c r="A5" s="193" t="s">
        <v>180</v>
      </c>
      <c r="B5" s="193"/>
      <c r="C5" s="193"/>
      <c r="D5" s="193"/>
    </row>
    <row r="6" spans="1:4" s="1" customFormat="1" ht="15" customHeight="1">
      <c r="A6" s="194" t="s">
        <v>147</v>
      </c>
      <c r="B6" s="194"/>
      <c r="C6" s="194"/>
      <c r="D6" s="194"/>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&amp;R&amp;10大阪国税局
消費税
(H29)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17"/>
  <sheetViews>
    <sheetView zoomScaleSheetLayoutView="85" workbookViewId="0" topLeftCell="A1">
      <selection activeCell="A1" sqref="A1"/>
    </sheetView>
  </sheetViews>
  <sheetFormatPr defaultColWidth="9.140625" defaultRowHeight="15"/>
  <cols>
    <col min="1" max="1" width="11.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4" ht="13.5">
      <c r="A1" s="1" t="s">
        <v>173</v>
      </c>
      <c r="B1" s="1"/>
      <c r="C1" s="1"/>
      <c r="D1" s="1"/>
      <c r="E1" s="1"/>
      <c r="F1" s="1"/>
      <c r="G1" s="1"/>
      <c r="H1" s="2"/>
      <c r="I1" s="2"/>
      <c r="J1" s="2"/>
      <c r="K1" s="2"/>
      <c r="L1" s="2"/>
      <c r="M1" s="2"/>
      <c r="N1" s="2"/>
    </row>
    <row r="2" spans="1:14" ht="14.25" thickBot="1">
      <c r="A2" s="194" t="s">
        <v>0</v>
      </c>
      <c r="B2" s="194"/>
      <c r="C2" s="194"/>
      <c r="D2" s="194"/>
      <c r="E2" s="194"/>
      <c r="F2" s="194"/>
      <c r="G2" s="194"/>
      <c r="H2" s="2"/>
      <c r="I2" s="2"/>
      <c r="J2" s="2"/>
      <c r="K2" s="2"/>
      <c r="L2" s="2"/>
      <c r="M2" s="2"/>
      <c r="N2" s="2"/>
    </row>
    <row r="3" spans="1:14" ht="19.5" customHeight="1">
      <c r="A3" s="205" t="s">
        <v>1</v>
      </c>
      <c r="B3" s="208" t="s">
        <v>2</v>
      </c>
      <c r="C3" s="208"/>
      <c r="D3" s="208"/>
      <c r="E3" s="208"/>
      <c r="F3" s="208"/>
      <c r="G3" s="208"/>
      <c r="H3" s="204" t="s">
        <v>3</v>
      </c>
      <c r="I3" s="202"/>
      <c r="J3" s="201" t="s">
        <v>4</v>
      </c>
      <c r="K3" s="202"/>
      <c r="L3" s="204" t="s">
        <v>5</v>
      </c>
      <c r="M3" s="202"/>
      <c r="N3" s="195" t="s">
        <v>6</v>
      </c>
    </row>
    <row r="4" spans="1:14" ht="17.25" customHeight="1">
      <c r="A4" s="206"/>
      <c r="B4" s="198" t="s">
        <v>7</v>
      </c>
      <c r="C4" s="198"/>
      <c r="D4" s="199" t="s">
        <v>8</v>
      </c>
      <c r="E4" s="200"/>
      <c r="F4" s="199" t="s">
        <v>9</v>
      </c>
      <c r="G4" s="200"/>
      <c r="H4" s="199"/>
      <c r="I4" s="203"/>
      <c r="J4" s="199"/>
      <c r="K4" s="203"/>
      <c r="L4" s="199"/>
      <c r="M4" s="203"/>
      <c r="N4" s="196"/>
    </row>
    <row r="5" spans="1:14" s="4" customFormat="1" ht="28.5" customHeight="1">
      <c r="A5" s="207"/>
      <c r="B5" s="37" t="s">
        <v>10</v>
      </c>
      <c r="C5" s="38" t="s">
        <v>11</v>
      </c>
      <c r="D5" s="37" t="s">
        <v>10</v>
      </c>
      <c r="E5" s="38" t="s">
        <v>11</v>
      </c>
      <c r="F5" s="37" t="s">
        <v>10</v>
      </c>
      <c r="G5" s="41" t="s">
        <v>12</v>
      </c>
      <c r="H5" s="37" t="s">
        <v>115</v>
      </c>
      <c r="I5" s="40" t="s">
        <v>13</v>
      </c>
      <c r="J5" s="37" t="s">
        <v>115</v>
      </c>
      <c r="K5" s="40" t="s">
        <v>14</v>
      </c>
      <c r="L5" s="37" t="s">
        <v>115</v>
      </c>
      <c r="M5" s="39" t="s">
        <v>116</v>
      </c>
      <c r="N5" s="197"/>
    </row>
    <row r="6" spans="1:14" s="10" customFormat="1" ht="10.5">
      <c r="A6" s="5"/>
      <c r="B6" s="6" t="s">
        <v>15</v>
      </c>
      <c r="C6" s="7" t="s">
        <v>16</v>
      </c>
      <c r="D6" s="6" t="s">
        <v>15</v>
      </c>
      <c r="E6" s="7" t="s">
        <v>16</v>
      </c>
      <c r="F6" s="6" t="s">
        <v>15</v>
      </c>
      <c r="G6" s="7" t="s">
        <v>16</v>
      </c>
      <c r="H6" s="6" t="s">
        <v>15</v>
      </c>
      <c r="I6" s="8" t="s">
        <v>16</v>
      </c>
      <c r="J6" s="6" t="s">
        <v>15</v>
      </c>
      <c r="K6" s="8" t="s">
        <v>16</v>
      </c>
      <c r="L6" s="6" t="s">
        <v>172</v>
      </c>
      <c r="M6" s="8" t="s">
        <v>16</v>
      </c>
      <c r="N6" s="9"/>
    </row>
    <row r="7" spans="1:14" s="17" customFormat="1" ht="15.75" customHeight="1">
      <c r="A7" s="11" t="s">
        <v>18</v>
      </c>
      <c r="B7" s="114">
        <f>_xlfn.COMPOUNDVALUE(1)</f>
        <v>1306</v>
      </c>
      <c r="C7" s="115">
        <v>677782</v>
      </c>
      <c r="D7" s="114">
        <f>_xlfn.COMPOUNDVALUE(2)</f>
        <v>1192</v>
      </c>
      <c r="E7" s="115">
        <v>532075</v>
      </c>
      <c r="F7" s="114">
        <f>_xlfn.COMPOUNDVALUE(3)</f>
        <v>2498</v>
      </c>
      <c r="G7" s="115">
        <v>1209857</v>
      </c>
      <c r="H7" s="114">
        <f>_xlfn.COMPOUNDVALUE(4)</f>
        <v>106</v>
      </c>
      <c r="I7" s="116">
        <v>84061</v>
      </c>
      <c r="J7" s="114">
        <v>255</v>
      </c>
      <c r="K7" s="116">
        <v>36781</v>
      </c>
      <c r="L7" s="114">
        <v>2673</v>
      </c>
      <c r="M7" s="116">
        <v>1162577</v>
      </c>
      <c r="N7" s="12" t="s">
        <v>18</v>
      </c>
    </row>
    <row r="8" spans="1:14" s="17" customFormat="1" ht="15.75" customHeight="1">
      <c r="A8" s="13" t="s">
        <v>19</v>
      </c>
      <c r="B8" s="119">
        <f>_xlfn.COMPOUNDVALUE(5)</f>
        <v>686</v>
      </c>
      <c r="C8" s="120">
        <v>366316</v>
      </c>
      <c r="D8" s="119">
        <f>_xlfn.COMPOUNDVALUE(6)</f>
        <v>678</v>
      </c>
      <c r="E8" s="120">
        <v>274959</v>
      </c>
      <c r="F8" s="119">
        <f>_xlfn.COMPOUNDVALUE(7)</f>
        <v>1364</v>
      </c>
      <c r="G8" s="120">
        <v>641275</v>
      </c>
      <c r="H8" s="119">
        <f>_xlfn.COMPOUNDVALUE(8)</f>
        <v>49</v>
      </c>
      <c r="I8" s="121">
        <v>46663</v>
      </c>
      <c r="J8" s="119">
        <v>92</v>
      </c>
      <c r="K8" s="121">
        <v>12710</v>
      </c>
      <c r="L8" s="119">
        <v>1451</v>
      </c>
      <c r="M8" s="121">
        <v>607322</v>
      </c>
      <c r="N8" s="14" t="s">
        <v>19</v>
      </c>
    </row>
    <row r="9" spans="1:14" s="17" customFormat="1" ht="15.75" customHeight="1">
      <c r="A9" s="13" t="s">
        <v>20</v>
      </c>
      <c r="B9" s="119">
        <f>_xlfn.COMPOUNDVALUE(9)</f>
        <v>760</v>
      </c>
      <c r="C9" s="120">
        <v>383787</v>
      </c>
      <c r="D9" s="119">
        <f>_xlfn.COMPOUNDVALUE(10)</f>
        <v>670</v>
      </c>
      <c r="E9" s="120">
        <v>270503</v>
      </c>
      <c r="F9" s="119">
        <f>_xlfn.COMPOUNDVALUE(11)</f>
        <v>1430</v>
      </c>
      <c r="G9" s="120">
        <v>654290</v>
      </c>
      <c r="H9" s="119">
        <f>_xlfn.COMPOUNDVALUE(12)</f>
        <v>52</v>
      </c>
      <c r="I9" s="121">
        <v>25010</v>
      </c>
      <c r="J9" s="119">
        <v>105</v>
      </c>
      <c r="K9" s="121">
        <v>19352</v>
      </c>
      <c r="L9" s="119">
        <v>1525</v>
      </c>
      <c r="M9" s="121">
        <v>648632</v>
      </c>
      <c r="N9" s="14" t="s">
        <v>20</v>
      </c>
    </row>
    <row r="10" spans="1:14" s="17" customFormat="1" ht="15.75" customHeight="1">
      <c r="A10" s="13" t="s">
        <v>21</v>
      </c>
      <c r="B10" s="119">
        <f>_xlfn.COMPOUNDVALUE(13)</f>
        <v>1109</v>
      </c>
      <c r="C10" s="120">
        <v>601144</v>
      </c>
      <c r="D10" s="119">
        <f>_xlfn.COMPOUNDVALUE(14)</f>
        <v>1121</v>
      </c>
      <c r="E10" s="120">
        <v>446683</v>
      </c>
      <c r="F10" s="119">
        <f>_xlfn.COMPOUNDVALUE(15)</f>
        <v>2230</v>
      </c>
      <c r="G10" s="120">
        <v>1047827</v>
      </c>
      <c r="H10" s="119">
        <f>_xlfn.COMPOUNDVALUE(16)</f>
        <v>89</v>
      </c>
      <c r="I10" s="121">
        <v>49910</v>
      </c>
      <c r="J10" s="119">
        <v>202</v>
      </c>
      <c r="K10" s="121">
        <v>25103</v>
      </c>
      <c r="L10" s="119">
        <v>2396</v>
      </c>
      <c r="M10" s="121">
        <v>1023020</v>
      </c>
      <c r="N10" s="14" t="s">
        <v>21</v>
      </c>
    </row>
    <row r="11" spans="1:14" s="17" customFormat="1" ht="15.75" customHeight="1">
      <c r="A11" s="13" t="s">
        <v>22</v>
      </c>
      <c r="B11" s="119">
        <f>_xlfn.COMPOUNDVALUE(17)</f>
        <v>1285</v>
      </c>
      <c r="C11" s="120">
        <v>1284274</v>
      </c>
      <c r="D11" s="119">
        <f>_xlfn.COMPOUNDVALUE(18)</f>
        <v>1214</v>
      </c>
      <c r="E11" s="120">
        <v>551695</v>
      </c>
      <c r="F11" s="119">
        <f>_xlfn.COMPOUNDVALUE(19)</f>
        <v>2499</v>
      </c>
      <c r="G11" s="120">
        <v>1835969</v>
      </c>
      <c r="H11" s="119">
        <f>_xlfn.COMPOUNDVALUE(20)</f>
        <v>98</v>
      </c>
      <c r="I11" s="121">
        <v>60766</v>
      </c>
      <c r="J11" s="119">
        <v>212</v>
      </c>
      <c r="K11" s="121">
        <v>29326</v>
      </c>
      <c r="L11" s="119">
        <v>2674</v>
      </c>
      <c r="M11" s="121">
        <v>1804530</v>
      </c>
      <c r="N11" s="14" t="s">
        <v>22</v>
      </c>
    </row>
    <row r="12" spans="1:14" s="17" customFormat="1" ht="15.75" customHeight="1">
      <c r="A12" s="13" t="s">
        <v>23</v>
      </c>
      <c r="B12" s="119">
        <f>_xlfn.COMPOUNDVALUE(21)</f>
        <v>595</v>
      </c>
      <c r="C12" s="120">
        <v>374499</v>
      </c>
      <c r="D12" s="119">
        <f>_xlfn.COMPOUNDVALUE(22)</f>
        <v>628</v>
      </c>
      <c r="E12" s="120">
        <v>246331</v>
      </c>
      <c r="F12" s="119">
        <f>_xlfn.COMPOUNDVALUE(23)</f>
        <v>1223</v>
      </c>
      <c r="G12" s="120">
        <v>620830</v>
      </c>
      <c r="H12" s="119">
        <f>_xlfn.COMPOUNDVALUE(24)</f>
        <v>30</v>
      </c>
      <c r="I12" s="121">
        <v>29228</v>
      </c>
      <c r="J12" s="119">
        <v>93</v>
      </c>
      <c r="K12" s="121">
        <v>21590</v>
      </c>
      <c r="L12" s="119">
        <v>1305</v>
      </c>
      <c r="M12" s="121">
        <v>613192</v>
      </c>
      <c r="N12" s="14" t="s">
        <v>23</v>
      </c>
    </row>
    <row r="13" spans="1:14" s="17" customFormat="1" ht="15.75" customHeight="1">
      <c r="A13" s="13" t="s">
        <v>24</v>
      </c>
      <c r="B13" s="119">
        <f>_xlfn.COMPOUNDVALUE(25)</f>
        <v>292</v>
      </c>
      <c r="C13" s="120">
        <v>194386</v>
      </c>
      <c r="D13" s="119">
        <f>_xlfn.COMPOUNDVALUE(26)</f>
        <v>307</v>
      </c>
      <c r="E13" s="120">
        <v>116769</v>
      </c>
      <c r="F13" s="119">
        <f>_xlfn.COMPOUNDVALUE(27)</f>
        <v>599</v>
      </c>
      <c r="G13" s="120">
        <v>311155</v>
      </c>
      <c r="H13" s="119">
        <f>_xlfn.COMPOUNDVALUE(28)</f>
        <v>19</v>
      </c>
      <c r="I13" s="121">
        <v>7473</v>
      </c>
      <c r="J13" s="119">
        <v>37</v>
      </c>
      <c r="K13" s="121">
        <v>5398</v>
      </c>
      <c r="L13" s="119">
        <v>626</v>
      </c>
      <c r="M13" s="121">
        <v>309079</v>
      </c>
      <c r="N13" s="14" t="s">
        <v>24</v>
      </c>
    </row>
    <row r="14" spans="1:14" s="17" customFormat="1" ht="15.75" customHeight="1">
      <c r="A14" s="15" t="s">
        <v>25</v>
      </c>
      <c r="B14" s="124">
        <v>6033</v>
      </c>
      <c r="C14" s="125">
        <v>3882189</v>
      </c>
      <c r="D14" s="124">
        <v>5810</v>
      </c>
      <c r="E14" s="125">
        <v>2439014</v>
      </c>
      <c r="F14" s="124">
        <v>11843</v>
      </c>
      <c r="G14" s="125">
        <v>6321202</v>
      </c>
      <c r="H14" s="124">
        <v>443</v>
      </c>
      <c r="I14" s="126">
        <v>303110</v>
      </c>
      <c r="J14" s="124">
        <v>996</v>
      </c>
      <c r="K14" s="126">
        <v>150259</v>
      </c>
      <c r="L14" s="124">
        <v>12650</v>
      </c>
      <c r="M14" s="126">
        <v>6168351</v>
      </c>
      <c r="N14" s="16" t="s">
        <v>120</v>
      </c>
    </row>
    <row r="15" spans="1:14" s="17" customFormat="1" ht="15.75" customHeight="1">
      <c r="A15" s="26"/>
      <c r="B15" s="129"/>
      <c r="C15" s="130"/>
      <c r="D15" s="129"/>
      <c r="E15" s="130"/>
      <c r="F15" s="131"/>
      <c r="G15" s="130"/>
      <c r="H15" s="131"/>
      <c r="I15" s="130"/>
      <c r="J15" s="131"/>
      <c r="K15" s="130"/>
      <c r="L15" s="131"/>
      <c r="M15" s="130"/>
      <c r="N15" s="24"/>
    </row>
    <row r="16" spans="1:14" s="17" customFormat="1" ht="15.75" customHeight="1">
      <c r="A16" s="11" t="s">
        <v>26</v>
      </c>
      <c r="B16" s="114">
        <f>_xlfn.COMPOUNDVALUE(29)</f>
        <v>1154</v>
      </c>
      <c r="C16" s="115">
        <v>762378</v>
      </c>
      <c r="D16" s="114">
        <f>_xlfn.COMPOUNDVALUE(30)</f>
        <v>1177</v>
      </c>
      <c r="E16" s="115">
        <v>528674</v>
      </c>
      <c r="F16" s="114">
        <f>_xlfn.COMPOUNDVALUE(31)</f>
        <v>2331</v>
      </c>
      <c r="G16" s="115">
        <v>1291052</v>
      </c>
      <c r="H16" s="114">
        <f>_xlfn.COMPOUNDVALUE(32)</f>
        <v>101</v>
      </c>
      <c r="I16" s="116">
        <v>68164</v>
      </c>
      <c r="J16" s="114">
        <v>157</v>
      </c>
      <c r="K16" s="116">
        <v>39160</v>
      </c>
      <c r="L16" s="114">
        <v>2476</v>
      </c>
      <c r="M16" s="116">
        <v>1262047</v>
      </c>
      <c r="N16" s="25" t="s">
        <v>26</v>
      </c>
    </row>
    <row r="17" spans="1:14" s="17" customFormat="1" ht="15.75" customHeight="1">
      <c r="A17" s="11" t="s">
        <v>27</v>
      </c>
      <c r="B17" s="114">
        <f>_xlfn.COMPOUNDVALUE(33)</f>
        <v>845</v>
      </c>
      <c r="C17" s="115">
        <v>629809</v>
      </c>
      <c r="D17" s="114">
        <f>_xlfn.COMPOUNDVALUE(34)</f>
        <v>827</v>
      </c>
      <c r="E17" s="115">
        <v>385079</v>
      </c>
      <c r="F17" s="114">
        <f>_xlfn.COMPOUNDVALUE(35)</f>
        <v>1672</v>
      </c>
      <c r="G17" s="115">
        <v>1014887</v>
      </c>
      <c r="H17" s="114">
        <f>_xlfn.COMPOUNDVALUE(36)</f>
        <v>73</v>
      </c>
      <c r="I17" s="116">
        <v>48153</v>
      </c>
      <c r="J17" s="114">
        <v>77</v>
      </c>
      <c r="K17" s="116">
        <v>11361</v>
      </c>
      <c r="L17" s="114">
        <v>1777</v>
      </c>
      <c r="M17" s="116">
        <v>978095</v>
      </c>
      <c r="N17" s="12" t="s">
        <v>27</v>
      </c>
    </row>
    <row r="18" spans="1:14" s="17" customFormat="1" ht="15.75" customHeight="1">
      <c r="A18" s="11" t="s">
        <v>28</v>
      </c>
      <c r="B18" s="114">
        <f>_xlfn.COMPOUNDVALUE(37)</f>
        <v>941</v>
      </c>
      <c r="C18" s="115">
        <v>701962</v>
      </c>
      <c r="D18" s="114">
        <f>_xlfn.COMPOUNDVALUE(38)</f>
        <v>1083</v>
      </c>
      <c r="E18" s="115">
        <v>561652</v>
      </c>
      <c r="F18" s="114">
        <f>_xlfn.COMPOUNDVALUE(39)</f>
        <v>2024</v>
      </c>
      <c r="G18" s="115">
        <v>1263613</v>
      </c>
      <c r="H18" s="114">
        <f>_xlfn.COMPOUNDVALUE(40)</f>
        <v>70</v>
      </c>
      <c r="I18" s="116">
        <v>46309</v>
      </c>
      <c r="J18" s="114">
        <v>159</v>
      </c>
      <c r="K18" s="116">
        <v>36174</v>
      </c>
      <c r="L18" s="114">
        <v>2158</v>
      </c>
      <c r="M18" s="116">
        <v>1253479</v>
      </c>
      <c r="N18" s="12" t="s">
        <v>28</v>
      </c>
    </row>
    <row r="19" spans="1:14" s="17" customFormat="1" ht="15.75" customHeight="1">
      <c r="A19" s="11" t="s">
        <v>29</v>
      </c>
      <c r="B19" s="114">
        <f>_xlfn.COMPOUNDVALUE(41)</f>
        <v>1127</v>
      </c>
      <c r="C19" s="115">
        <v>658911</v>
      </c>
      <c r="D19" s="114">
        <f>_xlfn.COMPOUNDVALUE(42)</f>
        <v>1009</v>
      </c>
      <c r="E19" s="115">
        <v>437413</v>
      </c>
      <c r="F19" s="114">
        <f>_xlfn.COMPOUNDVALUE(43)</f>
        <v>2136</v>
      </c>
      <c r="G19" s="115">
        <v>1096324</v>
      </c>
      <c r="H19" s="114">
        <f>_xlfn.COMPOUNDVALUE(44)</f>
        <v>72</v>
      </c>
      <c r="I19" s="116">
        <v>72938</v>
      </c>
      <c r="J19" s="114">
        <v>200</v>
      </c>
      <c r="K19" s="116">
        <v>54694</v>
      </c>
      <c r="L19" s="114">
        <v>2262</v>
      </c>
      <c r="M19" s="116">
        <v>1078080</v>
      </c>
      <c r="N19" s="12" t="s">
        <v>29</v>
      </c>
    </row>
    <row r="20" spans="1:14" s="17" customFormat="1" ht="15.75" customHeight="1">
      <c r="A20" s="11" t="s">
        <v>30</v>
      </c>
      <c r="B20" s="114">
        <f>_xlfn.COMPOUNDVALUE(45)</f>
        <v>1033</v>
      </c>
      <c r="C20" s="115">
        <v>752959</v>
      </c>
      <c r="D20" s="114">
        <f>_xlfn.COMPOUNDVALUE(46)</f>
        <v>1112</v>
      </c>
      <c r="E20" s="115">
        <v>527886</v>
      </c>
      <c r="F20" s="114">
        <f>_xlfn.COMPOUNDVALUE(47)</f>
        <v>2145</v>
      </c>
      <c r="G20" s="115">
        <v>1280845</v>
      </c>
      <c r="H20" s="114">
        <f>_xlfn.COMPOUNDVALUE(48)</f>
        <v>92</v>
      </c>
      <c r="I20" s="116">
        <v>82187</v>
      </c>
      <c r="J20" s="114">
        <v>161</v>
      </c>
      <c r="K20" s="116">
        <v>43565</v>
      </c>
      <c r="L20" s="114">
        <v>2307</v>
      </c>
      <c r="M20" s="116">
        <v>1242223</v>
      </c>
      <c r="N20" s="12" t="s">
        <v>30</v>
      </c>
    </row>
    <row r="21" spans="1:14" s="17" customFormat="1" ht="15.75" customHeight="1">
      <c r="A21" s="11" t="s">
        <v>31</v>
      </c>
      <c r="B21" s="114">
        <f>_xlfn.COMPOUNDVALUE(49)</f>
        <v>2213</v>
      </c>
      <c r="C21" s="115">
        <v>1147839</v>
      </c>
      <c r="D21" s="114">
        <f>_xlfn.COMPOUNDVALUE(50)</f>
        <v>2004</v>
      </c>
      <c r="E21" s="115">
        <v>880249</v>
      </c>
      <c r="F21" s="114">
        <f>_xlfn.COMPOUNDVALUE(51)</f>
        <v>4217</v>
      </c>
      <c r="G21" s="115">
        <v>2028089</v>
      </c>
      <c r="H21" s="114">
        <f>_xlfn.COMPOUNDVALUE(52)</f>
        <v>159</v>
      </c>
      <c r="I21" s="116">
        <v>102241</v>
      </c>
      <c r="J21" s="114">
        <v>355</v>
      </c>
      <c r="K21" s="116">
        <v>94995</v>
      </c>
      <c r="L21" s="114">
        <v>4532</v>
      </c>
      <c r="M21" s="116">
        <v>2020843</v>
      </c>
      <c r="N21" s="12" t="s">
        <v>31</v>
      </c>
    </row>
    <row r="22" spans="1:14" s="17" customFormat="1" ht="15.75" customHeight="1">
      <c r="A22" s="13" t="s">
        <v>32</v>
      </c>
      <c r="B22" s="119">
        <f>_xlfn.COMPOUNDVALUE(53)</f>
        <v>1206</v>
      </c>
      <c r="C22" s="120">
        <v>624868</v>
      </c>
      <c r="D22" s="119">
        <f>_xlfn.COMPOUNDVALUE(54)</f>
        <v>1089</v>
      </c>
      <c r="E22" s="120">
        <v>497203</v>
      </c>
      <c r="F22" s="119">
        <f>_xlfn.COMPOUNDVALUE(55)</f>
        <v>2295</v>
      </c>
      <c r="G22" s="120">
        <v>1122071</v>
      </c>
      <c r="H22" s="119">
        <f>_xlfn.COMPOUNDVALUE(56)</f>
        <v>82</v>
      </c>
      <c r="I22" s="121">
        <v>57913</v>
      </c>
      <c r="J22" s="119">
        <v>148</v>
      </c>
      <c r="K22" s="121">
        <v>20360</v>
      </c>
      <c r="L22" s="119">
        <v>2444</v>
      </c>
      <c r="M22" s="121">
        <v>1084518</v>
      </c>
      <c r="N22" s="14" t="s">
        <v>32</v>
      </c>
    </row>
    <row r="23" spans="1:14" s="17" customFormat="1" ht="15.75" customHeight="1">
      <c r="A23" s="13" t="s">
        <v>33</v>
      </c>
      <c r="B23" s="119">
        <f>_xlfn.COMPOUNDVALUE(57)</f>
        <v>480</v>
      </c>
      <c r="C23" s="120">
        <v>252885</v>
      </c>
      <c r="D23" s="119">
        <f>_xlfn.COMPOUNDVALUE(58)</f>
        <v>456</v>
      </c>
      <c r="E23" s="120">
        <v>183211</v>
      </c>
      <c r="F23" s="119">
        <f>_xlfn.COMPOUNDVALUE(59)</f>
        <v>936</v>
      </c>
      <c r="G23" s="120">
        <v>436095</v>
      </c>
      <c r="H23" s="119">
        <f>_xlfn.COMPOUNDVALUE(60)</f>
        <v>19</v>
      </c>
      <c r="I23" s="121">
        <v>6787</v>
      </c>
      <c r="J23" s="119">
        <v>104</v>
      </c>
      <c r="K23" s="121">
        <v>27674</v>
      </c>
      <c r="L23" s="119">
        <v>999</v>
      </c>
      <c r="M23" s="121">
        <v>456982</v>
      </c>
      <c r="N23" s="14" t="s">
        <v>33</v>
      </c>
    </row>
    <row r="24" spans="1:14" s="17" customFormat="1" ht="15.75" customHeight="1">
      <c r="A24" s="13" t="s">
        <v>34</v>
      </c>
      <c r="B24" s="119">
        <f>_xlfn.COMPOUNDVALUE(61)</f>
        <v>369</v>
      </c>
      <c r="C24" s="120">
        <v>202381</v>
      </c>
      <c r="D24" s="119">
        <f>_xlfn.COMPOUNDVALUE(62)</f>
        <v>322</v>
      </c>
      <c r="E24" s="120">
        <v>129874</v>
      </c>
      <c r="F24" s="119">
        <f>_xlfn.COMPOUNDVALUE(63)</f>
        <v>691</v>
      </c>
      <c r="G24" s="120">
        <v>332254</v>
      </c>
      <c r="H24" s="119">
        <f>_xlfn.COMPOUNDVALUE(64)</f>
        <v>16</v>
      </c>
      <c r="I24" s="121">
        <v>2563</v>
      </c>
      <c r="J24" s="119">
        <v>82</v>
      </c>
      <c r="K24" s="121">
        <v>25887</v>
      </c>
      <c r="L24" s="119">
        <v>745</v>
      </c>
      <c r="M24" s="121">
        <v>355579</v>
      </c>
      <c r="N24" s="14" t="s">
        <v>34</v>
      </c>
    </row>
    <row r="25" spans="1:14" s="17" customFormat="1" ht="15.75" customHeight="1">
      <c r="A25" s="13" t="s">
        <v>35</v>
      </c>
      <c r="B25" s="119">
        <f>_xlfn.COMPOUNDVALUE(65)</f>
        <v>2348</v>
      </c>
      <c r="C25" s="120">
        <v>1240612</v>
      </c>
      <c r="D25" s="119">
        <f>_xlfn.COMPOUNDVALUE(66)</f>
        <v>2125</v>
      </c>
      <c r="E25" s="120">
        <v>892191</v>
      </c>
      <c r="F25" s="119">
        <f>_xlfn.COMPOUNDVALUE(67)</f>
        <v>4473</v>
      </c>
      <c r="G25" s="120">
        <v>2132804</v>
      </c>
      <c r="H25" s="119">
        <f>_xlfn.COMPOUNDVALUE(68)</f>
        <v>220</v>
      </c>
      <c r="I25" s="121">
        <v>150938</v>
      </c>
      <c r="J25" s="119">
        <v>322</v>
      </c>
      <c r="K25" s="121">
        <v>72199</v>
      </c>
      <c r="L25" s="119">
        <v>4827</v>
      </c>
      <c r="M25" s="121">
        <v>2054065</v>
      </c>
      <c r="N25" s="14" t="s">
        <v>35</v>
      </c>
    </row>
    <row r="26" spans="1:14" s="17" customFormat="1" ht="15.75" customHeight="1">
      <c r="A26" s="13" t="s">
        <v>36</v>
      </c>
      <c r="B26" s="119">
        <f>_xlfn.COMPOUNDVALUE(69)</f>
        <v>311</v>
      </c>
      <c r="C26" s="120">
        <v>166849</v>
      </c>
      <c r="D26" s="119">
        <f>_xlfn.COMPOUNDVALUE(70)</f>
        <v>272</v>
      </c>
      <c r="E26" s="120">
        <v>95052</v>
      </c>
      <c r="F26" s="119">
        <f>_xlfn.COMPOUNDVALUE(71)</f>
        <v>583</v>
      </c>
      <c r="G26" s="120">
        <v>261902</v>
      </c>
      <c r="H26" s="119">
        <f>_xlfn.COMPOUNDVALUE(72)</f>
        <v>13</v>
      </c>
      <c r="I26" s="121">
        <v>4446</v>
      </c>
      <c r="J26" s="119">
        <v>35</v>
      </c>
      <c r="K26" s="121">
        <v>5410</v>
      </c>
      <c r="L26" s="119">
        <v>609</v>
      </c>
      <c r="M26" s="121">
        <v>262866</v>
      </c>
      <c r="N26" s="14" t="s">
        <v>36</v>
      </c>
    </row>
    <row r="27" spans="1:14" s="17" customFormat="1" ht="15.75" customHeight="1">
      <c r="A27" s="13" t="s">
        <v>37</v>
      </c>
      <c r="B27" s="119">
        <f>_xlfn.COMPOUNDVALUE(73)</f>
        <v>681</v>
      </c>
      <c r="C27" s="120">
        <v>310490</v>
      </c>
      <c r="D27" s="119">
        <f>_xlfn.COMPOUNDVALUE(74)</f>
        <v>567</v>
      </c>
      <c r="E27" s="120">
        <v>221266</v>
      </c>
      <c r="F27" s="119">
        <f>_xlfn.COMPOUNDVALUE(75)</f>
        <v>1248</v>
      </c>
      <c r="G27" s="120">
        <v>531755</v>
      </c>
      <c r="H27" s="119">
        <f>_xlfn.COMPOUNDVALUE(76)</f>
        <v>46</v>
      </c>
      <c r="I27" s="121">
        <v>28732</v>
      </c>
      <c r="J27" s="119">
        <v>125</v>
      </c>
      <c r="K27" s="121">
        <v>19561</v>
      </c>
      <c r="L27" s="119">
        <v>1348</v>
      </c>
      <c r="M27" s="121">
        <v>522583</v>
      </c>
      <c r="N27" s="14" t="s">
        <v>37</v>
      </c>
    </row>
    <row r="28" spans="1:14" s="17" customFormat="1" ht="15.75" customHeight="1">
      <c r="A28" s="13" t="s">
        <v>38</v>
      </c>
      <c r="B28" s="119">
        <f>_xlfn.COMPOUNDVALUE(77)</f>
        <v>480</v>
      </c>
      <c r="C28" s="120">
        <v>285792</v>
      </c>
      <c r="D28" s="119">
        <f>_xlfn.COMPOUNDVALUE(78)</f>
        <v>357</v>
      </c>
      <c r="E28" s="120">
        <v>140749</v>
      </c>
      <c r="F28" s="119">
        <f>_xlfn.COMPOUNDVALUE(79)</f>
        <v>837</v>
      </c>
      <c r="G28" s="120">
        <v>426541</v>
      </c>
      <c r="H28" s="119">
        <f>_xlfn.COMPOUNDVALUE(80)</f>
        <v>14</v>
      </c>
      <c r="I28" s="121">
        <v>3674</v>
      </c>
      <c r="J28" s="119">
        <v>48</v>
      </c>
      <c r="K28" s="121">
        <v>22545</v>
      </c>
      <c r="L28" s="119">
        <v>870</v>
      </c>
      <c r="M28" s="121">
        <v>445412</v>
      </c>
      <c r="N28" s="14" t="s">
        <v>38</v>
      </c>
    </row>
    <row r="29" spans="1:14" s="17" customFormat="1" ht="15.75" customHeight="1">
      <c r="A29" s="15" t="s">
        <v>39</v>
      </c>
      <c r="B29" s="124">
        <v>13188</v>
      </c>
      <c r="C29" s="125">
        <v>7737734</v>
      </c>
      <c r="D29" s="124">
        <v>12400</v>
      </c>
      <c r="E29" s="125">
        <v>5480498</v>
      </c>
      <c r="F29" s="124">
        <v>25588</v>
      </c>
      <c r="G29" s="125">
        <v>13218232</v>
      </c>
      <c r="H29" s="124">
        <v>977</v>
      </c>
      <c r="I29" s="126">
        <v>675045</v>
      </c>
      <c r="J29" s="124">
        <v>1973</v>
      </c>
      <c r="K29" s="126">
        <v>473585</v>
      </c>
      <c r="L29" s="124">
        <v>27354</v>
      </c>
      <c r="M29" s="126">
        <v>13016772</v>
      </c>
      <c r="N29" s="16" t="s">
        <v>121</v>
      </c>
    </row>
    <row r="30" spans="1:14" s="17" customFormat="1" ht="15.75" customHeight="1">
      <c r="A30" s="23"/>
      <c r="B30" s="129"/>
      <c r="C30" s="130"/>
      <c r="D30" s="129"/>
      <c r="E30" s="130"/>
      <c r="F30" s="131"/>
      <c r="G30" s="130"/>
      <c r="H30" s="131"/>
      <c r="I30" s="130"/>
      <c r="J30" s="131"/>
      <c r="K30" s="130"/>
      <c r="L30" s="131"/>
      <c r="M30" s="130"/>
      <c r="N30" s="24"/>
    </row>
    <row r="31" spans="1:14" s="17" customFormat="1" ht="15.75" customHeight="1">
      <c r="A31" s="11" t="s">
        <v>40</v>
      </c>
      <c r="B31" s="114">
        <f>_xlfn.COMPOUNDVALUE(81)</f>
        <v>812</v>
      </c>
      <c r="C31" s="115">
        <v>496050</v>
      </c>
      <c r="D31" s="114">
        <f>_xlfn.COMPOUNDVALUE(82)</f>
        <v>564</v>
      </c>
      <c r="E31" s="115">
        <v>259654</v>
      </c>
      <c r="F31" s="114">
        <f>_xlfn.COMPOUNDVALUE(83)</f>
        <v>1376</v>
      </c>
      <c r="G31" s="115">
        <v>755704</v>
      </c>
      <c r="H31" s="114">
        <f>_xlfn.COMPOUNDVALUE(84)</f>
        <v>50</v>
      </c>
      <c r="I31" s="116">
        <v>33103</v>
      </c>
      <c r="J31" s="114">
        <v>138</v>
      </c>
      <c r="K31" s="116">
        <v>94051</v>
      </c>
      <c r="L31" s="114">
        <v>1496</v>
      </c>
      <c r="M31" s="116">
        <v>816653</v>
      </c>
      <c r="N31" s="25" t="s">
        <v>40</v>
      </c>
    </row>
    <row r="32" spans="1:14" s="17" customFormat="1" ht="15.75" customHeight="1">
      <c r="A32" s="11" t="s">
        <v>41</v>
      </c>
      <c r="B32" s="114">
        <f>_xlfn.COMPOUNDVALUE(85)</f>
        <v>965</v>
      </c>
      <c r="C32" s="115">
        <v>605818</v>
      </c>
      <c r="D32" s="114">
        <f>_xlfn.COMPOUNDVALUE(86)</f>
        <v>658</v>
      </c>
      <c r="E32" s="115">
        <v>353026</v>
      </c>
      <c r="F32" s="114">
        <f>_xlfn.COMPOUNDVALUE(87)</f>
        <v>1623</v>
      </c>
      <c r="G32" s="115">
        <v>958843</v>
      </c>
      <c r="H32" s="114">
        <f>_xlfn.COMPOUNDVALUE(88)</f>
        <v>85</v>
      </c>
      <c r="I32" s="116">
        <v>46713</v>
      </c>
      <c r="J32" s="114">
        <v>111</v>
      </c>
      <c r="K32" s="116">
        <v>26219</v>
      </c>
      <c r="L32" s="114">
        <v>1753</v>
      </c>
      <c r="M32" s="116">
        <v>938349</v>
      </c>
      <c r="N32" s="12" t="s">
        <v>41</v>
      </c>
    </row>
    <row r="33" spans="1:14" s="17" customFormat="1" ht="15.75" customHeight="1">
      <c r="A33" s="11" t="s">
        <v>42</v>
      </c>
      <c r="B33" s="114">
        <f>_xlfn.COMPOUNDVALUE(89)</f>
        <v>802</v>
      </c>
      <c r="C33" s="115">
        <v>642550</v>
      </c>
      <c r="D33" s="114">
        <f>_xlfn.COMPOUNDVALUE(90)</f>
        <v>616</v>
      </c>
      <c r="E33" s="115">
        <v>243214</v>
      </c>
      <c r="F33" s="114">
        <f>_xlfn.COMPOUNDVALUE(91)</f>
        <v>1418</v>
      </c>
      <c r="G33" s="115">
        <v>885763</v>
      </c>
      <c r="H33" s="114">
        <f>_xlfn.COMPOUNDVALUE(92)</f>
        <v>48</v>
      </c>
      <c r="I33" s="116">
        <v>16423</v>
      </c>
      <c r="J33" s="114">
        <v>145</v>
      </c>
      <c r="K33" s="116">
        <v>16204</v>
      </c>
      <c r="L33" s="114">
        <v>1532</v>
      </c>
      <c r="M33" s="116">
        <v>885545</v>
      </c>
      <c r="N33" s="12" t="s">
        <v>42</v>
      </c>
    </row>
    <row r="34" spans="1:14" s="17" customFormat="1" ht="15.75" customHeight="1">
      <c r="A34" s="11" t="s">
        <v>43</v>
      </c>
      <c r="B34" s="114">
        <f>_xlfn.COMPOUNDVALUE(93)</f>
        <v>541</v>
      </c>
      <c r="C34" s="115">
        <v>371291</v>
      </c>
      <c r="D34" s="114">
        <f>_xlfn.COMPOUNDVALUE(94)</f>
        <v>518</v>
      </c>
      <c r="E34" s="115">
        <v>290279</v>
      </c>
      <c r="F34" s="114">
        <f>_xlfn.COMPOUNDVALUE(95)</f>
        <v>1059</v>
      </c>
      <c r="G34" s="115">
        <v>661570</v>
      </c>
      <c r="H34" s="114">
        <f>_xlfn.COMPOUNDVALUE(96)</f>
        <v>60</v>
      </c>
      <c r="I34" s="116">
        <v>55342</v>
      </c>
      <c r="J34" s="114">
        <v>66</v>
      </c>
      <c r="K34" s="116">
        <v>1520</v>
      </c>
      <c r="L34" s="114">
        <v>1144</v>
      </c>
      <c r="M34" s="116">
        <v>607748</v>
      </c>
      <c r="N34" s="12" t="s">
        <v>43</v>
      </c>
    </row>
    <row r="35" spans="1:14" s="17" customFormat="1" ht="15.75" customHeight="1">
      <c r="A35" s="11" t="s">
        <v>44</v>
      </c>
      <c r="B35" s="114">
        <f>_xlfn.COMPOUNDVALUE(97)</f>
        <v>562</v>
      </c>
      <c r="C35" s="115">
        <v>392851</v>
      </c>
      <c r="D35" s="114">
        <f>_xlfn.COMPOUNDVALUE(98)</f>
        <v>289</v>
      </c>
      <c r="E35" s="115">
        <v>141432</v>
      </c>
      <c r="F35" s="114">
        <f>_xlfn.COMPOUNDVALUE(99)</f>
        <v>851</v>
      </c>
      <c r="G35" s="115">
        <v>534282</v>
      </c>
      <c r="H35" s="114">
        <f>_xlfn.COMPOUNDVALUE(100)</f>
        <v>52</v>
      </c>
      <c r="I35" s="116">
        <v>24574</v>
      </c>
      <c r="J35" s="114">
        <v>71</v>
      </c>
      <c r="K35" s="116">
        <v>21373</v>
      </c>
      <c r="L35" s="114">
        <v>941</v>
      </c>
      <c r="M35" s="116">
        <v>531082</v>
      </c>
      <c r="N35" s="12" t="s">
        <v>44</v>
      </c>
    </row>
    <row r="36" spans="1:14" s="17" customFormat="1" ht="15.75" customHeight="1">
      <c r="A36" s="11" t="s">
        <v>45</v>
      </c>
      <c r="B36" s="114">
        <f>_xlfn.COMPOUNDVALUE(101)</f>
        <v>426</v>
      </c>
      <c r="C36" s="115">
        <v>260745</v>
      </c>
      <c r="D36" s="114">
        <f>_xlfn.COMPOUNDVALUE(102)</f>
        <v>384</v>
      </c>
      <c r="E36" s="115">
        <v>144958</v>
      </c>
      <c r="F36" s="114">
        <f>_xlfn.COMPOUNDVALUE(103)</f>
        <v>810</v>
      </c>
      <c r="G36" s="115">
        <v>405703</v>
      </c>
      <c r="H36" s="114">
        <f>_xlfn.COMPOUNDVALUE(104)</f>
        <v>26</v>
      </c>
      <c r="I36" s="116">
        <v>7294</v>
      </c>
      <c r="J36" s="114">
        <v>67</v>
      </c>
      <c r="K36" s="116">
        <v>12747</v>
      </c>
      <c r="L36" s="114">
        <v>860</v>
      </c>
      <c r="M36" s="116">
        <v>411156</v>
      </c>
      <c r="N36" s="12" t="s">
        <v>45</v>
      </c>
    </row>
    <row r="37" spans="1:14" s="17" customFormat="1" ht="15.75" customHeight="1">
      <c r="A37" s="11" t="s">
        <v>46</v>
      </c>
      <c r="B37" s="114">
        <f>_xlfn.COMPOUNDVALUE(105)</f>
        <v>483</v>
      </c>
      <c r="C37" s="115">
        <v>300023</v>
      </c>
      <c r="D37" s="114">
        <f>_xlfn.COMPOUNDVALUE(106)</f>
        <v>475</v>
      </c>
      <c r="E37" s="115">
        <v>196846</v>
      </c>
      <c r="F37" s="114">
        <f>_xlfn.COMPOUNDVALUE(107)</f>
        <v>958</v>
      </c>
      <c r="G37" s="115">
        <v>496869</v>
      </c>
      <c r="H37" s="114">
        <f>_xlfn.COMPOUNDVALUE(108)</f>
        <v>45</v>
      </c>
      <c r="I37" s="116">
        <v>48862</v>
      </c>
      <c r="J37" s="114">
        <v>44</v>
      </c>
      <c r="K37" s="116">
        <v>18233</v>
      </c>
      <c r="L37" s="114">
        <v>1020</v>
      </c>
      <c r="M37" s="116">
        <v>466239</v>
      </c>
      <c r="N37" s="12" t="s">
        <v>46</v>
      </c>
    </row>
    <row r="38" spans="1:14" s="17" customFormat="1" ht="15.75" customHeight="1">
      <c r="A38" s="11" t="s">
        <v>47</v>
      </c>
      <c r="B38" s="114">
        <f>_xlfn.COMPOUNDVALUE(109)</f>
        <v>927</v>
      </c>
      <c r="C38" s="115">
        <v>534830</v>
      </c>
      <c r="D38" s="114">
        <f>_xlfn.COMPOUNDVALUE(110)</f>
        <v>879</v>
      </c>
      <c r="E38" s="115">
        <v>371275</v>
      </c>
      <c r="F38" s="114">
        <f>_xlfn.COMPOUNDVALUE(111)</f>
        <v>1806</v>
      </c>
      <c r="G38" s="115">
        <v>906105</v>
      </c>
      <c r="H38" s="114">
        <f>_xlfn.COMPOUNDVALUE(112)</f>
        <v>55</v>
      </c>
      <c r="I38" s="116">
        <v>32401</v>
      </c>
      <c r="J38" s="114">
        <v>204</v>
      </c>
      <c r="K38" s="116">
        <v>51890</v>
      </c>
      <c r="L38" s="114">
        <v>1953</v>
      </c>
      <c r="M38" s="116">
        <v>925594</v>
      </c>
      <c r="N38" s="12" t="s">
        <v>47</v>
      </c>
    </row>
    <row r="39" spans="1:14" s="17" customFormat="1" ht="15.75" customHeight="1">
      <c r="A39" s="11" t="s">
        <v>48</v>
      </c>
      <c r="B39" s="114">
        <f>_xlfn.COMPOUNDVALUE(113)</f>
        <v>895</v>
      </c>
      <c r="C39" s="115">
        <v>441450</v>
      </c>
      <c r="D39" s="114">
        <f>_xlfn.COMPOUNDVALUE(114)</f>
        <v>769</v>
      </c>
      <c r="E39" s="115">
        <v>332139</v>
      </c>
      <c r="F39" s="114">
        <f>_xlfn.COMPOUNDVALUE(115)</f>
        <v>1664</v>
      </c>
      <c r="G39" s="115">
        <v>773589</v>
      </c>
      <c r="H39" s="114">
        <f>_xlfn.COMPOUNDVALUE(116)</f>
        <v>85</v>
      </c>
      <c r="I39" s="116">
        <v>40855</v>
      </c>
      <c r="J39" s="114">
        <v>170</v>
      </c>
      <c r="K39" s="116">
        <v>54121</v>
      </c>
      <c r="L39" s="114">
        <v>1847</v>
      </c>
      <c r="M39" s="116">
        <v>786855</v>
      </c>
      <c r="N39" s="12" t="s">
        <v>48</v>
      </c>
    </row>
    <row r="40" spans="1:14" s="17" customFormat="1" ht="15.75" customHeight="1">
      <c r="A40" s="11" t="s">
        <v>49</v>
      </c>
      <c r="B40" s="114">
        <f>_xlfn.COMPOUNDVALUE(117)</f>
        <v>1248</v>
      </c>
      <c r="C40" s="115">
        <v>583971</v>
      </c>
      <c r="D40" s="114">
        <f>_xlfn.COMPOUNDVALUE(118)</f>
        <v>960</v>
      </c>
      <c r="E40" s="115">
        <v>422229</v>
      </c>
      <c r="F40" s="114">
        <f>_xlfn.COMPOUNDVALUE(119)</f>
        <v>2208</v>
      </c>
      <c r="G40" s="115">
        <v>1006201</v>
      </c>
      <c r="H40" s="114">
        <f>_xlfn.COMPOUNDVALUE(120)</f>
        <v>74</v>
      </c>
      <c r="I40" s="116">
        <v>55233</v>
      </c>
      <c r="J40" s="114">
        <v>160</v>
      </c>
      <c r="K40" s="116">
        <v>42808</v>
      </c>
      <c r="L40" s="114">
        <v>2393</v>
      </c>
      <c r="M40" s="116">
        <v>993775</v>
      </c>
      <c r="N40" s="12" t="s">
        <v>49</v>
      </c>
    </row>
    <row r="41" spans="1:14" s="17" customFormat="1" ht="15.75" customHeight="1">
      <c r="A41" s="11" t="s">
        <v>50</v>
      </c>
      <c r="B41" s="114">
        <f>_xlfn.COMPOUNDVALUE(121)</f>
        <v>510</v>
      </c>
      <c r="C41" s="115">
        <v>318866</v>
      </c>
      <c r="D41" s="114">
        <f>_xlfn.COMPOUNDVALUE(122)</f>
        <v>527</v>
      </c>
      <c r="E41" s="115">
        <v>285022</v>
      </c>
      <c r="F41" s="114">
        <f>_xlfn.COMPOUNDVALUE(123)</f>
        <v>1037</v>
      </c>
      <c r="G41" s="115">
        <v>603888</v>
      </c>
      <c r="H41" s="114">
        <f>_xlfn.COMPOUNDVALUE(124)</f>
        <v>45</v>
      </c>
      <c r="I41" s="116">
        <v>22485</v>
      </c>
      <c r="J41" s="114">
        <v>57</v>
      </c>
      <c r="K41" s="116">
        <v>22986</v>
      </c>
      <c r="L41" s="114">
        <v>1098</v>
      </c>
      <c r="M41" s="116">
        <v>604388</v>
      </c>
      <c r="N41" s="12" t="s">
        <v>50</v>
      </c>
    </row>
    <row r="42" spans="1:14" s="17" customFormat="1" ht="15.75" customHeight="1">
      <c r="A42" s="11" t="s">
        <v>51</v>
      </c>
      <c r="B42" s="114">
        <f>_xlfn.COMPOUNDVALUE(125)</f>
        <v>1245</v>
      </c>
      <c r="C42" s="115">
        <v>582243</v>
      </c>
      <c r="D42" s="114">
        <f>_xlfn.COMPOUNDVALUE(126)</f>
        <v>909</v>
      </c>
      <c r="E42" s="115">
        <v>409091</v>
      </c>
      <c r="F42" s="114">
        <f>_xlfn.COMPOUNDVALUE(127)</f>
        <v>2154</v>
      </c>
      <c r="G42" s="115">
        <v>991333</v>
      </c>
      <c r="H42" s="114">
        <f>_xlfn.COMPOUNDVALUE(128)</f>
        <v>104</v>
      </c>
      <c r="I42" s="116">
        <v>28094</v>
      </c>
      <c r="J42" s="114">
        <v>222</v>
      </c>
      <c r="K42" s="116">
        <v>42519</v>
      </c>
      <c r="L42" s="114">
        <v>2359</v>
      </c>
      <c r="M42" s="116">
        <v>1005759</v>
      </c>
      <c r="N42" s="12" t="s">
        <v>51</v>
      </c>
    </row>
    <row r="43" spans="1:14" s="17" customFormat="1" ht="15.75" customHeight="1">
      <c r="A43" s="11" t="s">
        <v>52</v>
      </c>
      <c r="B43" s="114">
        <f>_xlfn.COMPOUNDVALUE(129)</f>
        <v>1809</v>
      </c>
      <c r="C43" s="115">
        <v>1001090</v>
      </c>
      <c r="D43" s="114">
        <f>_xlfn.COMPOUNDVALUE(130)</f>
        <v>1572</v>
      </c>
      <c r="E43" s="115">
        <v>665729</v>
      </c>
      <c r="F43" s="114">
        <f>_xlfn.COMPOUNDVALUE(131)</f>
        <v>3381</v>
      </c>
      <c r="G43" s="115">
        <v>1666819</v>
      </c>
      <c r="H43" s="114">
        <f>_xlfn.COMPOUNDVALUE(132)</f>
        <v>107</v>
      </c>
      <c r="I43" s="116">
        <v>53322</v>
      </c>
      <c r="J43" s="114">
        <v>381</v>
      </c>
      <c r="K43" s="116">
        <v>95954</v>
      </c>
      <c r="L43" s="114">
        <v>3615</v>
      </c>
      <c r="M43" s="116">
        <v>1709451</v>
      </c>
      <c r="N43" s="12" t="s">
        <v>52</v>
      </c>
    </row>
    <row r="44" spans="1:14" s="17" customFormat="1" ht="15.75" customHeight="1">
      <c r="A44" s="11" t="s">
        <v>53</v>
      </c>
      <c r="B44" s="114">
        <f>_xlfn.COMPOUNDVALUE(133)</f>
        <v>592</v>
      </c>
      <c r="C44" s="115">
        <v>328713</v>
      </c>
      <c r="D44" s="114">
        <f>_xlfn.COMPOUNDVALUE(134)</f>
        <v>408</v>
      </c>
      <c r="E44" s="115">
        <v>199545</v>
      </c>
      <c r="F44" s="114">
        <f>_xlfn.COMPOUNDVALUE(135)</f>
        <v>1000</v>
      </c>
      <c r="G44" s="115">
        <v>528258</v>
      </c>
      <c r="H44" s="114">
        <f>_xlfn.COMPOUNDVALUE(136)</f>
        <v>20</v>
      </c>
      <c r="I44" s="116">
        <v>6503</v>
      </c>
      <c r="J44" s="114">
        <v>118</v>
      </c>
      <c r="K44" s="116">
        <v>77732</v>
      </c>
      <c r="L44" s="114">
        <v>1070</v>
      </c>
      <c r="M44" s="116">
        <v>599487</v>
      </c>
      <c r="N44" s="12" t="s">
        <v>53</v>
      </c>
    </row>
    <row r="45" spans="1:14" s="17" customFormat="1" ht="15.75" customHeight="1">
      <c r="A45" s="11" t="s">
        <v>54</v>
      </c>
      <c r="B45" s="114">
        <f>_xlfn.COMPOUNDVALUE(137)</f>
        <v>1699</v>
      </c>
      <c r="C45" s="115">
        <v>966581</v>
      </c>
      <c r="D45" s="114">
        <f>_xlfn.COMPOUNDVALUE(138)</f>
        <v>1160</v>
      </c>
      <c r="E45" s="115">
        <v>567380</v>
      </c>
      <c r="F45" s="114">
        <f>_xlfn.COMPOUNDVALUE(139)</f>
        <v>2859</v>
      </c>
      <c r="G45" s="115">
        <v>1533960</v>
      </c>
      <c r="H45" s="114">
        <f>_xlfn.COMPOUNDVALUE(140)</f>
        <v>99</v>
      </c>
      <c r="I45" s="116">
        <v>105715</v>
      </c>
      <c r="J45" s="114">
        <v>354</v>
      </c>
      <c r="K45" s="116">
        <v>216760</v>
      </c>
      <c r="L45" s="114">
        <v>3210</v>
      </c>
      <c r="M45" s="116">
        <v>1645005</v>
      </c>
      <c r="N45" s="12" t="s">
        <v>54</v>
      </c>
    </row>
    <row r="46" spans="1:14" s="17" customFormat="1" ht="15.75" customHeight="1">
      <c r="A46" s="11" t="s">
        <v>55</v>
      </c>
      <c r="B46" s="114">
        <f>_xlfn.COMPOUNDVALUE(141)</f>
        <v>1360</v>
      </c>
      <c r="C46" s="115">
        <v>1487701</v>
      </c>
      <c r="D46" s="114">
        <f>_xlfn.COMPOUNDVALUE(142)</f>
        <v>1344</v>
      </c>
      <c r="E46" s="115">
        <v>868417</v>
      </c>
      <c r="F46" s="114">
        <f>_xlfn.COMPOUNDVALUE(143)</f>
        <v>2704</v>
      </c>
      <c r="G46" s="115">
        <v>2356118</v>
      </c>
      <c r="H46" s="114">
        <f>_xlfn.COMPOUNDVALUE(144)</f>
        <v>92</v>
      </c>
      <c r="I46" s="116">
        <v>45166</v>
      </c>
      <c r="J46" s="114">
        <v>210</v>
      </c>
      <c r="K46" s="116">
        <v>58761</v>
      </c>
      <c r="L46" s="114">
        <v>2868</v>
      </c>
      <c r="M46" s="116">
        <v>2369713</v>
      </c>
      <c r="N46" s="12" t="s">
        <v>55</v>
      </c>
    </row>
    <row r="47" spans="1:14" s="17" customFormat="1" ht="15.75" customHeight="1">
      <c r="A47" s="11" t="s">
        <v>56</v>
      </c>
      <c r="B47" s="114">
        <f>_xlfn.COMPOUNDVALUE(145)</f>
        <v>629</v>
      </c>
      <c r="C47" s="115">
        <v>506829</v>
      </c>
      <c r="D47" s="114">
        <f>_xlfn.COMPOUNDVALUE(146)</f>
        <v>511</v>
      </c>
      <c r="E47" s="115">
        <v>275924</v>
      </c>
      <c r="F47" s="114">
        <f>_xlfn.COMPOUNDVALUE(147)</f>
        <v>1140</v>
      </c>
      <c r="G47" s="115">
        <v>782753</v>
      </c>
      <c r="H47" s="114">
        <f>_xlfn.COMPOUNDVALUE(148)</f>
        <v>83</v>
      </c>
      <c r="I47" s="116">
        <v>25390</v>
      </c>
      <c r="J47" s="114">
        <v>105</v>
      </c>
      <c r="K47" s="116">
        <v>17447</v>
      </c>
      <c r="L47" s="114">
        <v>1270</v>
      </c>
      <c r="M47" s="116">
        <v>774810</v>
      </c>
      <c r="N47" s="12" t="s">
        <v>56</v>
      </c>
    </row>
    <row r="48" spans="1:14" s="17" customFormat="1" ht="15.75" customHeight="1">
      <c r="A48" s="11" t="s">
        <v>57</v>
      </c>
      <c r="B48" s="114">
        <f>_xlfn.COMPOUNDVALUE(149)</f>
        <v>989</v>
      </c>
      <c r="C48" s="115">
        <v>1034829</v>
      </c>
      <c r="D48" s="114">
        <f>_xlfn.COMPOUNDVALUE(150)</f>
        <v>971</v>
      </c>
      <c r="E48" s="115">
        <v>637955</v>
      </c>
      <c r="F48" s="114">
        <f>_xlfn.COMPOUNDVALUE(151)</f>
        <v>1960</v>
      </c>
      <c r="G48" s="115">
        <v>1672784</v>
      </c>
      <c r="H48" s="114">
        <f>_xlfn.COMPOUNDVALUE(152)</f>
        <v>100</v>
      </c>
      <c r="I48" s="116">
        <v>249121</v>
      </c>
      <c r="J48" s="114">
        <v>132</v>
      </c>
      <c r="K48" s="116">
        <v>27385</v>
      </c>
      <c r="L48" s="114">
        <v>2089</v>
      </c>
      <c r="M48" s="116">
        <v>1451048</v>
      </c>
      <c r="N48" s="12" t="s">
        <v>57</v>
      </c>
    </row>
    <row r="49" spans="1:14" s="17" customFormat="1" ht="15.75" customHeight="1">
      <c r="A49" s="11" t="s">
        <v>58</v>
      </c>
      <c r="B49" s="114">
        <f>_xlfn.COMPOUNDVALUE(153)</f>
        <v>991</v>
      </c>
      <c r="C49" s="115">
        <v>828089</v>
      </c>
      <c r="D49" s="114">
        <f>_xlfn.COMPOUNDVALUE(154)</f>
        <v>742</v>
      </c>
      <c r="E49" s="115">
        <v>415955</v>
      </c>
      <c r="F49" s="114">
        <f>_xlfn.COMPOUNDVALUE(155)</f>
        <v>1733</v>
      </c>
      <c r="G49" s="115">
        <v>1244044</v>
      </c>
      <c r="H49" s="114">
        <f>_xlfn.COMPOUNDVALUE(156)</f>
        <v>91</v>
      </c>
      <c r="I49" s="116">
        <v>81261</v>
      </c>
      <c r="J49" s="114">
        <v>138</v>
      </c>
      <c r="K49" s="116">
        <v>65055</v>
      </c>
      <c r="L49" s="114">
        <v>1895</v>
      </c>
      <c r="M49" s="116">
        <v>1227838</v>
      </c>
      <c r="N49" s="12" t="s">
        <v>58</v>
      </c>
    </row>
    <row r="50" spans="1:14" s="17" customFormat="1" ht="15.75" customHeight="1">
      <c r="A50" s="11" t="s">
        <v>59</v>
      </c>
      <c r="B50" s="114">
        <f>_xlfn.COMPOUNDVALUE(157)</f>
        <v>3934</v>
      </c>
      <c r="C50" s="115">
        <v>2051137</v>
      </c>
      <c r="D50" s="114">
        <f>_xlfn.COMPOUNDVALUE(158)</f>
        <v>2809</v>
      </c>
      <c r="E50" s="115">
        <v>1264728</v>
      </c>
      <c r="F50" s="114">
        <f>_xlfn.COMPOUNDVALUE(159)</f>
        <v>6743</v>
      </c>
      <c r="G50" s="115">
        <v>3315865</v>
      </c>
      <c r="H50" s="114">
        <f>_xlfn.COMPOUNDVALUE(160)</f>
        <v>277</v>
      </c>
      <c r="I50" s="116">
        <v>269810</v>
      </c>
      <c r="J50" s="114">
        <v>496</v>
      </c>
      <c r="K50" s="116">
        <v>114208</v>
      </c>
      <c r="L50" s="114">
        <v>7247</v>
      </c>
      <c r="M50" s="116">
        <v>3160262</v>
      </c>
      <c r="N50" s="12" t="s">
        <v>59</v>
      </c>
    </row>
    <row r="51" spans="1:14" s="17" customFormat="1" ht="15.75" customHeight="1">
      <c r="A51" s="11" t="s">
        <v>60</v>
      </c>
      <c r="B51" s="114">
        <f>_xlfn.COMPOUNDVALUE(161)</f>
        <v>1585</v>
      </c>
      <c r="C51" s="115">
        <v>795259</v>
      </c>
      <c r="D51" s="114">
        <f>_xlfn.COMPOUNDVALUE(162)</f>
        <v>1067</v>
      </c>
      <c r="E51" s="115">
        <v>459615</v>
      </c>
      <c r="F51" s="114">
        <f>_xlfn.COMPOUNDVALUE(163)</f>
        <v>2652</v>
      </c>
      <c r="G51" s="115">
        <v>1254874</v>
      </c>
      <c r="H51" s="114">
        <f>_xlfn.COMPOUNDVALUE(164)</f>
        <v>79</v>
      </c>
      <c r="I51" s="116">
        <v>68612</v>
      </c>
      <c r="J51" s="114">
        <v>231</v>
      </c>
      <c r="K51" s="116">
        <v>58039</v>
      </c>
      <c r="L51" s="114">
        <v>2834</v>
      </c>
      <c r="M51" s="116">
        <v>1244301</v>
      </c>
      <c r="N51" s="12" t="s">
        <v>60</v>
      </c>
    </row>
    <row r="52" spans="1:14" s="17" customFormat="1" ht="15.75" customHeight="1">
      <c r="A52" s="11" t="s">
        <v>61</v>
      </c>
      <c r="B52" s="114">
        <f>_xlfn.COMPOUNDVALUE(165)</f>
        <v>2763</v>
      </c>
      <c r="C52" s="115">
        <v>1604251</v>
      </c>
      <c r="D52" s="114">
        <f>_xlfn.COMPOUNDVALUE(166)</f>
        <v>2589</v>
      </c>
      <c r="E52" s="115">
        <v>1218224</v>
      </c>
      <c r="F52" s="114">
        <f>_xlfn.COMPOUNDVALUE(167)</f>
        <v>5352</v>
      </c>
      <c r="G52" s="115">
        <v>2822476</v>
      </c>
      <c r="H52" s="114">
        <f>_xlfn.COMPOUNDVALUE(168)</f>
        <v>206</v>
      </c>
      <c r="I52" s="116">
        <v>215021</v>
      </c>
      <c r="J52" s="114">
        <v>436</v>
      </c>
      <c r="K52" s="116">
        <v>100779</v>
      </c>
      <c r="L52" s="114">
        <v>5784</v>
      </c>
      <c r="M52" s="116">
        <v>2708233</v>
      </c>
      <c r="N52" s="12" t="s">
        <v>61</v>
      </c>
    </row>
    <row r="53" spans="1:14" s="17" customFormat="1" ht="15.75" customHeight="1">
      <c r="A53" s="11" t="s">
        <v>62</v>
      </c>
      <c r="B53" s="114">
        <f>_xlfn.COMPOUNDVALUE(169)</f>
        <v>1741</v>
      </c>
      <c r="C53" s="115">
        <v>943276</v>
      </c>
      <c r="D53" s="114">
        <f>_xlfn.COMPOUNDVALUE(170)</f>
        <v>1570</v>
      </c>
      <c r="E53" s="115">
        <v>796945</v>
      </c>
      <c r="F53" s="114">
        <f>_xlfn.COMPOUNDVALUE(171)</f>
        <v>3311</v>
      </c>
      <c r="G53" s="115">
        <v>1740221</v>
      </c>
      <c r="H53" s="114">
        <f>_xlfn.COMPOUNDVALUE(172)</f>
        <v>160</v>
      </c>
      <c r="I53" s="116">
        <v>84683</v>
      </c>
      <c r="J53" s="114">
        <v>300</v>
      </c>
      <c r="K53" s="116">
        <v>73260</v>
      </c>
      <c r="L53" s="114">
        <v>3582</v>
      </c>
      <c r="M53" s="116">
        <v>1728798</v>
      </c>
      <c r="N53" s="12" t="s">
        <v>62</v>
      </c>
    </row>
    <row r="54" spans="1:14" s="17" customFormat="1" ht="15.75" customHeight="1">
      <c r="A54" s="11" t="s">
        <v>63</v>
      </c>
      <c r="B54" s="114">
        <f>_xlfn.COMPOUNDVALUE(173)</f>
        <v>1633</v>
      </c>
      <c r="C54" s="115">
        <v>775956</v>
      </c>
      <c r="D54" s="114">
        <f>_xlfn.COMPOUNDVALUE(174)</f>
        <v>1025</v>
      </c>
      <c r="E54" s="115">
        <v>438341</v>
      </c>
      <c r="F54" s="114">
        <f>_xlfn.COMPOUNDVALUE(175)</f>
        <v>2658</v>
      </c>
      <c r="G54" s="115">
        <v>1214297</v>
      </c>
      <c r="H54" s="114">
        <f>_xlfn.COMPOUNDVALUE(176)</f>
        <v>122</v>
      </c>
      <c r="I54" s="116">
        <v>63035</v>
      </c>
      <c r="J54" s="114">
        <v>228</v>
      </c>
      <c r="K54" s="116">
        <v>44098</v>
      </c>
      <c r="L54" s="114">
        <v>2902</v>
      </c>
      <c r="M54" s="116">
        <v>1195360</v>
      </c>
      <c r="N54" s="12" t="s">
        <v>63</v>
      </c>
    </row>
    <row r="55" spans="1:14" s="17" customFormat="1" ht="15.75" customHeight="1">
      <c r="A55" s="13" t="s">
        <v>64</v>
      </c>
      <c r="B55" s="119">
        <f>_xlfn.COMPOUNDVALUE(177)</f>
        <v>2897</v>
      </c>
      <c r="C55" s="120">
        <v>1415962</v>
      </c>
      <c r="D55" s="119">
        <f>_xlfn.COMPOUNDVALUE(178)</f>
        <v>2194</v>
      </c>
      <c r="E55" s="120">
        <v>1000189</v>
      </c>
      <c r="F55" s="119">
        <f>_xlfn.COMPOUNDVALUE(179)</f>
        <v>5091</v>
      </c>
      <c r="G55" s="120">
        <v>2416151</v>
      </c>
      <c r="H55" s="119">
        <f>_xlfn.COMPOUNDVALUE(180)</f>
        <v>196</v>
      </c>
      <c r="I55" s="121">
        <v>138459</v>
      </c>
      <c r="J55" s="119">
        <v>492</v>
      </c>
      <c r="K55" s="121">
        <v>130988</v>
      </c>
      <c r="L55" s="119">
        <v>5605</v>
      </c>
      <c r="M55" s="121">
        <v>2408679</v>
      </c>
      <c r="N55" s="14" t="s">
        <v>64</v>
      </c>
    </row>
    <row r="56" spans="1:14" s="17" customFormat="1" ht="15.75" customHeight="1">
      <c r="A56" s="13" t="s">
        <v>65</v>
      </c>
      <c r="B56" s="119">
        <f>_xlfn.COMPOUNDVALUE(181)</f>
        <v>2208</v>
      </c>
      <c r="C56" s="120">
        <v>1208858</v>
      </c>
      <c r="D56" s="119">
        <f>_xlfn.COMPOUNDVALUE(182)</f>
        <v>1807</v>
      </c>
      <c r="E56" s="120">
        <v>869067</v>
      </c>
      <c r="F56" s="119">
        <f>_xlfn.COMPOUNDVALUE(183)</f>
        <v>4015</v>
      </c>
      <c r="G56" s="120">
        <v>2077925</v>
      </c>
      <c r="H56" s="119">
        <f>_xlfn.COMPOUNDVALUE(184)</f>
        <v>138</v>
      </c>
      <c r="I56" s="121">
        <v>125524</v>
      </c>
      <c r="J56" s="119">
        <v>322</v>
      </c>
      <c r="K56" s="121">
        <v>77394</v>
      </c>
      <c r="L56" s="119">
        <v>4334</v>
      </c>
      <c r="M56" s="121">
        <v>2029795</v>
      </c>
      <c r="N56" s="14" t="s">
        <v>65</v>
      </c>
    </row>
    <row r="57" spans="1:14" s="17" customFormat="1" ht="15.75" customHeight="1">
      <c r="A57" s="13" t="s">
        <v>66</v>
      </c>
      <c r="B57" s="119">
        <f>_xlfn.COMPOUNDVALUE(185)</f>
        <v>2566</v>
      </c>
      <c r="C57" s="120">
        <v>1270377</v>
      </c>
      <c r="D57" s="119">
        <f>_xlfn.COMPOUNDVALUE(186)</f>
        <v>2038</v>
      </c>
      <c r="E57" s="120">
        <v>866551</v>
      </c>
      <c r="F57" s="119">
        <f>_xlfn.COMPOUNDVALUE(187)</f>
        <v>4604</v>
      </c>
      <c r="G57" s="120">
        <v>2136928</v>
      </c>
      <c r="H57" s="119">
        <f>_xlfn.COMPOUNDVALUE(188)</f>
        <v>144</v>
      </c>
      <c r="I57" s="121">
        <v>169116</v>
      </c>
      <c r="J57" s="119">
        <v>386</v>
      </c>
      <c r="K57" s="121">
        <v>73828</v>
      </c>
      <c r="L57" s="119">
        <v>4911</v>
      </c>
      <c r="M57" s="121">
        <v>2041640</v>
      </c>
      <c r="N57" s="14" t="s">
        <v>66</v>
      </c>
    </row>
    <row r="58" spans="1:14" s="17" customFormat="1" ht="15.75" customHeight="1">
      <c r="A58" s="13" t="s">
        <v>67</v>
      </c>
      <c r="B58" s="119">
        <f>_xlfn.COMPOUNDVALUE(189)</f>
        <v>1405</v>
      </c>
      <c r="C58" s="120">
        <v>722511</v>
      </c>
      <c r="D58" s="119">
        <f>_xlfn.COMPOUNDVALUE(190)</f>
        <v>971</v>
      </c>
      <c r="E58" s="120">
        <v>403553</v>
      </c>
      <c r="F58" s="119">
        <f>_xlfn.COMPOUNDVALUE(191)</f>
        <v>2376</v>
      </c>
      <c r="G58" s="120">
        <v>1126064</v>
      </c>
      <c r="H58" s="119">
        <f>_xlfn.COMPOUNDVALUE(192)</f>
        <v>87</v>
      </c>
      <c r="I58" s="121">
        <v>25941</v>
      </c>
      <c r="J58" s="119">
        <v>242</v>
      </c>
      <c r="K58" s="121">
        <v>49911</v>
      </c>
      <c r="L58" s="119">
        <v>2571</v>
      </c>
      <c r="M58" s="121">
        <v>1150034</v>
      </c>
      <c r="N58" s="14" t="s">
        <v>67</v>
      </c>
    </row>
    <row r="59" spans="1:14" s="17" customFormat="1" ht="15.75" customHeight="1">
      <c r="A59" s="13" t="s">
        <v>68</v>
      </c>
      <c r="B59" s="119">
        <f>_xlfn.COMPOUNDVALUE(193)</f>
        <v>2417</v>
      </c>
      <c r="C59" s="120">
        <v>1450029</v>
      </c>
      <c r="D59" s="119">
        <f>_xlfn.COMPOUNDVALUE(194)</f>
        <v>1675</v>
      </c>
      <c r="E59" s="120">
        <v>757198</v>
      </c>
      <c r="F59" s="119">
        <f>_xlfn.COMPOUNDVALUE(195)</f>
        <v>4092</v>
      </c>
      <c r="G59" s="120">
        <v>2207226</v>
      </c>
      <c r="H59" s="119">
        <f>_xlfn.COMPOUNDVALUE(196)</f>
        <v>142</v>
      </c>
      <c r="I59" s="121">
        <v>62834</v>
      </c>
      <c r="J59" s="119">
        <v>290</v>
      </c>
      <c r="K59" s="121">
        <v>78487</v>
      </c>
      <c r="L59" s="119">
        <v>4405</v>
      </c>
      <c r="M59" s="121">
        <v>2222879</v>
      </c>
      <c r="N59" s="14" t="s">
        <v>68</v>
      </c>
    </row>
    <row r="60" spans="1:14" s="17" customFormat="1" ht="15.75" customHeight="1">
      <c r="A60" s="13" t="s">
        <v>69</v>
      </c>
      <c r="B60" s="119">
        <f>_xlfn.COMPOUNDVALUE(197)</f>
        <v>2338</v>
      </c>
      <c r="C60" s="120">
        <v>1133771</v>
      </c>
      <c r="D60" s="119">
        <f>_xlfn.COMPOUNDVALUE(198)</f>
        <v>1787</v>
      </c>
      <c r="E60" s="120">
        <v>831625</v>
      </c>
      <c r="F60" s="119">
        <f>_xlfn.COMPOUNDVALUE(199)</f>
        <v>4125</v>
      </c>
      <c r="G60" s="120">
        <v>1965396</v>
      </c>
      <c r="H60" s="119">
        <f>_xlfn.COMPOUNDVALUE(200)</f>
        <v>125</v>
      </c>
      <c r="I60" s="121">
        <v>130947</v>
      </c>
      <c r="J60" s="119">
        <v>343</v>
      </c>
      <c r="K60" s="121">
        <v>80721</v>
      </c>
      <c r="L60" s="119">
        <v>4463</v>
      </c>
      <c r="M60" s="121">
        <v>1915171</v>
      </c>
      <c r="N60" s="14" t="s">
        <v>69</v>
      </c>
    </row>
    <row r="61" spans="1:14" s="17" customFormat="1" ht="15.75" customHeight="1">
      <c r="A61" s="13" t="s">
        <v>70</v>
      </c>
      <c r="B61" s="119">
        <f>_xlfn.COMPOUNDVALUE(201)</f>
        <v>2874</v>
      </c>
      <c r="C61" s="120">
        <v>1692351</v>
      </c>
      <c r="D61" s="119">
        <f>_xlfn.COMPOUNDVALUE(202)</f>
        <v>2768</v>
      </c>
      <c r="E61" s="120">
        <v>1273056</v>
      </c>
      <c r="F61" s="119">
        <f>_xlfn.COMPOUNDVALUE(203)</f>
        <v>5642</v>
      </c>
      <c r="G61" s="120">
        <v>2965407</v>
      </c>
      <c r="H61" s="119">
        <f>_xlfn.COMPOUNDVALUE(204)</f>
        <v>180</v>
      </c>
      <c r="I61" s="121">
        <v>229919</v>
      </c>
      <c r="J61" s="119">
        <v>386</v>
      </c>
      <c r="K61" s="121">
        <v>109140</v>
      </c>
      <c r="L61" s="119">
        <v>6013</v>
      </c>
      <c r="M61" s="121">
        <v>2844628</v>
      </c>
      <c r="N61" s="14" t="s">
        <v>70</v>
      </c>
    </row>
    <row r="62" spans="1:14" s="17" customFormat="1" ht="15.75" customHeight="1">
      <c r="A62" s="15" t="s">
        <v>71</v>
      </c>
      <c r="B62" s="124">
        <v>45846</v>
      </c>
      <c r="C62" s="125">
        <v>26748255</v>
      </c>
      <c r="D62" s="124">
        <v>36556</v>
      </c>
      <c r="E62" s="125">
        <v>17259159</v>
      </c>
      <c r="F62" s="124">
        <v>82402</v>
      </c>
      <c r="G62" s="125">
        <v>44007414</v>
      </c>
      <c r="H62" s="124">
        <v>3177</v>
      </c>
      <c r="I62" s="126">
        <v>2561756</v>
      </c>
      <c r="J62" s="124">
        <v>7045</v>
      </c>
      <c r="K62" s="126">
        <v>1954616</v>
      </c>
      <c r="L62" s="124">
        <v>89064</v>
      </c>
      <c r="M62" s="126">
        <v>43400275</v>
      </c>
      <c r="N62" s="16" t="s">
        <v>122</v>
      </c>
    </row>
    <row r="63" spans="1:14" s="17" customFormat="1" ht="15.75" customHeight="1">
      <c r="A63" s="23"/>
      <c r="B63" s="129"/>
      <c r="C63" s="130"/>
      <c r="D63" s="129"/>
      <c r="E63" s="130"/>
      <c r="F63" s="131"/>
      <c r="G63" s="130"/>
      <c r="H63" s="131"/>
      <c r="I63" s="130"/>
      <c r="J63" s="131"/>
      <c r="K63" s="130"/>
      <c r="L63" s="131"/>
      <c r="M63" s="130"/>
      <c r="N63" s="24"/>
    </row>
    <row r="64" spans="1:14" s="17" customFormat="1" ht="15.75" customHeight="1">
      <c r="A64" s="11" t="s">
        <v>72</v>
      </c>
      <c r="B64" s="114">
        <f>_xlfn.COMPOUNDVALUE(205)</f>
        <v>585</v>
      </c>
      <c r="C64" s="115">
        <v>307228</v>
      </c>
      <c r="D64" s="114">
        <f>_xlfn.COMPOUNDVALUE(206)</f>
        <v>529</v>
      </c>
      <c r="E64" s="115">
        <v>230911</v>
      </c>
      <c r="F64" s="114">
        <f>_xlfn.COMPOUNDVALUE(207)</f>
        <v>1114</v>
      </c>
      <c r="G64" s="115">
        <v>538139</v>
      </c>
      <c r="H64" s="114">
        <f>_xlfn.COMPOUNDVALUE(208)</f>
        <v>78</v>
      </c>
      <c r="I64" s="116">
        <v>40197</v>
      </c>
      <c r="J64" s="114">
        <v>80</v>
      </c>
      <c r="K64" s="116">
        <v>22298</v>
      </c>
      <c r="L64" s="114">
        <v>1238</v>
      </c>
      <c r="M64" s="116">
        <v>520241</v>
      </c>
      <c r="N64" s="25" t="s">
        <v>72</v>
      </c>
    </row>
    <row r="65" spans="1:14" s="17" customFormat="1" ht="15.75" customHeight="1">
      <c r="A65" s="11" t="s">
        <v>73</v>
      </c>
      <c r="B65" s="114">
        <f>_xlfn.COMPOUNDVALUE(209)</f>
        <v>1598</v>
      </c>
      <c r="C65" s="115">
        <v>784004</v>
      </c>
      <c r="D65" s="114">
        <f>_xlfn.COMPOUNDVALUE(210)</f>
        <v>1233</v>
      </c>
      <c r="E65" s="115">
        <v>521946</v>
      </c>
      <c r="F65" s="114">
        <f>_xlfn.COMPOUNDVALUE(211)</f>
        <v>2831</v>
      </c>
      <c r="G65" s="115">
        <v>1305950</v>
      </c>
      <c r="H65" s="114">
        <f>_xlfn.COMPOUNDVALUE(212)</f>
        <v>149</v>
      </c>
      <c r="I65" s="116">
        <v>273932</v>
      </c>
      <c r="J65" s="114">
        <v>302</v>
      </c>
      <c r="K65" s="116">
        <v>77126</v>
      </c>
      <c r="L65" s="114">
        <v>3141</v>
      </c>
      <c r="M65" s="116">
        <v>1109144</v>
      </c>
      <c r="N65" s="12" t="s">
        <v>73</v>
      </c>
    </row>
    <row r="66" spans="1:14" s="17" customFormat="1" ht="15.75" customHeight="1">
      <c r="A66" s="11" t="s">
        <v>74</v>
      </c>
      <c r="B66" s="114">
        <f>_xlfn.COMPOUNDVALUE(213)</f>
        <v>660</v>
      </c>
      <c r="C66" s="115">
        <v>337151</v>
      </c>
      <c r="D66" s="114">
        <f>_xlfn.COMPOUNDVALUE(214)</f>
        <v>444</v>
      </c>
      <c r="E66" s="115">
        <v>177779</v>
      </c>
      <c r="F66" s="114">
        <f>_xlfn.COMPOUNDVALUE(215)</f>
        <v>1104</v>
      </c>
      <c r="G66" s="115">
        <v>514930</v>
      </c>
      <c r="H66" s="114">
        <f>_xlfn.COMPOUNDVALUE(216)</f>
        <v>49</v>
      </c>
      <c r="I66" s="116">
        <v>18007</v>
      </c>
      <c r="J66" s="114">
        <v>173</v>
      </c>
      <c r="K66" s="116">
        <v>54740</v>
      </c>
      <c r="L66" s="114">
        <v>1255</v>
      </c>
      <c r="M66" s="116">
        <v>551663</v>
      </c>
      <c r="N66" s="12" t="s">
        <v>74</v>
      </c>
    </row>
    <row r="67" spans="1:14" s="17" customFormat="1" ht="15.75" customHeight="1">
      <c r="A67" s="11" t="s">
        <v>75</v>
      </c>
      <c r="B67" s="114">
        <f>_xlfn.COMPOUNDVALUE(217)</f>
        <v>1210</v>
      </c>
      <c r="C67" s="115">
        <v>557997</v>
      </c>
      <c r="D67" s="114">
        <f>_xlfn.COMPOUNDVALUE(218)</f>
        <v>952</v>
      </c>
      <c r="E67" s="115">
        <v>444435</v>
      </c>
      <c r="F67" s="114">
        <f>_xlfn.COMPOUNDVALUE(219)</f>
        <v>2162</v>
      </c>
      <c r="G67" s="115">
        <v>1002432</v>
      </c>
      <c r="H67" s="114">
        <f>_xlfn.COMPOUNDVALUE(220)</f>
        <v>134</v>
      </c>
      <c r="I67" s="116">
        <v>75620</v>
      </c>
      <c r="J67" s="114">
        <v>190</v>
      </c>
      <c r="K67" s="116">
        <v>40489</v>
      </c>
      <c r="L67" s="114">
        <v>2390</v>
      </c>
      <c r="M67" s="116">
        <v>967301</v>
      </c>
      <c r="N67" s="12" t="s">
        <v>75</v>
      </c>
    </row>
    <row r="68" spans="1:14" s="17" customFormat="1" ht="15.75" customHeight="1">
      <c r="A68" s="11" t="s">
        <v>76</v>
      </c>
      <c r="B68" s="114">
        <f>_xlfn.COMPOUNDVALUE(221)</f>
        <v>1208</v>
      </c>
      <c r="C68" s="115">
        <v>927427</v>
      </c>
      <c r="D68" s="114">
        <f>_xlfn.COMPOUNDVALUE(222)</f>
        <v>1096</v>
      </c>
      <c r="E68" s="115">
        <v>587761</v>
      </c>
      <c r="F68" s="114">
        <f>_xlfn.COMPOUNDVALUE(223)</f>
        <v>2304</v>
      </c>
      <c r="G68" s="115">
        <v>1515187</v>
      </c>
      <c r="H68" s="114">
        <f>_xlfn.COMPOUNDVALUE(224)</f>
        <v>387</v>
      </c>
      <c r="I68" s="116">
        <v>408323</v>
      </c>
      <c r="J68" s="114">
        <v>156</v>
      </c>
      <c r="K68" s="116">
        <v>47154</v>
      </c>
      <c r="L68" s="114">
        <v>2740</v>
      </c>
      <c r="M68" s="116">
        <v>1154018</v>
      </c>
      <c r="N68" s="12" t="s">
        <v>76</v>
      </c>
    </row>
    <row r="69" spans="1:14" s="17" customFormat="1" ht="15.75" customHeight="1">
      <c r="A69" s="11" t="s">
        <v>77</v>
      </c>
      <c r="B69" s="114">
        <f>_xlfn.COMPOUNDVALUE(225)</f>
        <v>3151</v>
      </c>
      <c r="C69" s="115">
        <v>2020530</v>
      </c>
      <c r="D69" s="114">
        <f>_xlfn.COMPOUNDVALUE(226)</f>
        <v>2460</v>
      </c>
      <c r="E69" s="115">
        <v>1115696</v>
      </c>
      <c r="F69" s="114">
        <f>_xlfn.COMPOUNDVALUE(227)</f>
        <v>5611</v>
      </c>
      <c r="G69" s="115">
        <v>3136227</v>
      </c>
      <c r="H69" s="114">
        <f>_xlfn.COMPOUNDVALUE(228)</f>
        <v>194</v>
      </c>
      <c r="I69" s="116">
        <v>145050</v>
      </c>
      <c r="J69" s="114">
        <v>440</v>
      </c>
      <c r="K69" s="116">
        <v>90082</v>
      </c>
      <c r="L69" s="114">
        <v>6022</v>
      </c>
      <c r="M69" s="116">
        <v>3081259</v>
      </c>
      <c r="N69" s="12" t="s">
        <v>77</v>
      </c>
    </row>
    <row r="70" spans="1:14" s="17" customFormat="1" ht="15.75" customHeight="1">
      <c r="A70" s="11" t="s">
        <v>78</v>
      </c>
      <c r="B70" s="114">
        <f>_xlfn.COMPOUNDVALUE(229)</f>
        <v>1988</v>
      </c>
      <c r="C70" s="115">
        <v>1096631</v>
      </c>
      <c r="D70" s="114">
        <f>_xlfn.COMPOUNDVALUE(230)</f>
        <v>1751</v>
      </c>
      <c r="E70" s="115">
        <v>787001</v>
      </c>
      <c r="F70" s="114">
        <f>_xlfn.COMPOUNDVALUE(231)</f>
        <v>3739</v>
      </c>
      <c r="G70" s="115">
        <v>1883631</v>
      </c>
      <c r="H70" s="114">
        <f>_xlfn.COMPOUNDVALUE(232)</f>
        <v>95</v>
      </c>
      <c r="I70" s="116">
        <v>54103</v>
      </c>
      <c r="J70" s="114">
        <v>333</v>
      </c>
      <c r="K70" s="116">
        <v>79418</v>
      </c>
      <c r="L70" s="114">
        <v>4013</v>
      </c>
      <c r="M70" s="116">
        <v>1908946</v>
      </c>
      <c r="N70" s="12" t="s">
        <v>78</v>
      </c>
    </row>
    <row r="71" spans="1:14" s="17" customFormat="1" ht="15.75" customHeight="1">
      <c r="A71" s="11" t="s">
        <v>79</v>
      </c>
      <c r="B71" s="114">
        <f>_xlfn.COMPOUNDVALUE(233)</f>
        <v>1731</v>
      </c>
      <c r="C71" s="115">
        <v>815619</v>
      </c>
      <c r="D71" s="114">
        <f>_xlfn.COMPOUNDVALUE(234)</f>
        <v>2053</v>
      </c>
      <c r="E71" s="115">
        <v>882003</v>
      </c>
      <c r="F71" s="114">
        <f>_xlfn.COMPOUNDVALUE(235)</f>
        <v>3784</v>
      </c>
      <c r="G71" s="115">
        <v>1697622</v>
      </c>
      <c r="H71" s="114">
        <f>_xlfn.COMPOUNDVALUE(236)</f>
        <v>144</v>
      </c>
      <c r="I71" s="116">
        <v>116061</v>
      </c>
      <c r="J71" s="114">
        <v>265</v>
      </c>
      <c r="K71" s="116">
        <v>33568</v>
      </c>
      <c r="L71" s="114">
        <v>4037</v>
      </c>
      <c r="M71" s="116">
        <v>1615129</v>
      </c>
      <c r="N71" s="12" t="s">
        <v>79</v>
      </c>
    </row>
    <row r="72" spans="1:14" s="17" customFormat="1" ht="15.75" customHeight="1">
      <c r="A72" s="11" t="s">
        <v>80</v>
      </c>
      <c r="B72" s="114">
        <f>_xlfn.COMPOUNDVALUE(237)</f>
        <v>2430</v>
      </c>
      <c r="C72" s="115">
        <v>1519876</v>
      </c>
      <c r="D72" s="114">
        <f>_xlfn.COMPOUNDVALUE(238)</f>
        <v>2541</v>
      </c>
      <c r="E72" s="115">
        <v>1303130</v>
      </c>
      <c r="F72" s="114">
        <f>_xlfn.COMPOUNDVALUE(239)</f>
        <v>4971</v>
      </c>
      <c r="G72" s="115">
        <v>2823006</v>
      </c>
      <c r="H72" s="114">
        <f>_xlfn.COMPOUNDVALUE(240)</f>
        <v>241</v>
      </c>
      <c r="I72" s="116">
        <v>211746</v>
      </c>
      <c r="J72" s="114">
        <v>363</v>
      </c>
      <c r="K72" s="116">
        <v>80107</v>
      </c>
      <c r="L72" s="114">
        <v>5369</v>
      </c>
      <c r="M72" s="116">
        <v>2691367</v>
      </c>
      <c r="N72" s="12" t="s">
        <v>80</v>
      </c>
    </row>
    <row r="73" spans="1:14" s="17" customFormat="1" ht="15.75" customHeight="1">
      <c r="A73" s="11" t="s">
        <v>81</v>
      </c>
      <c r="B73" s="114">
        <f>_xlfn.COMPOUNDVALUE(241)</f>
        <v>997</v>
      </c>
      <c r="C73" s="115">
        <v>637167</v>
      </c>
      <c r="D73" s="114">
        <f>_xlfn.COMPOUNDVALUE(242)</f>
        <v>1704</v>
      </c>
      <c r="E73" s="115">
        <v>555457</v>
      </c>
      <c r="F73" s="114">
        <f>_xlfn.COMPOUNDVALUE(243)</f>
        <v>2701</v>
      </c>
      <c r="G73" s="115">
        <v>1192624</v>
      </c>
      <c r="H73" s="114">
        <f>_xlfn.COMPOUNDVALUE(244)</f>
        <v>66</v>
      </c>
      <c r="I73" s="116">
        <v>27626</v>
      </c>
      <c r="J73" s="114">
        <v>184</v>
      </c>
      <c r="K73" s="116">
        <v>22267</v>
      </c>
      <c r="L73" s="114">
        <v>2795</v>
      </c>
      <c r="M73" s="116">
        <v>1187265</v>
      </c>
      <c r="N73" s="12" t="s">
        <v>81</v>
      </c>
    </row>
    <row r="74" spans="1:14" s="17" customFormat="1" ht="15.75" customHeight="1">
      <c r="A74" s="11" t="s">
        <v>82</v>
      </c>
      <c r="B74" s="114">
        <f>_xlfn.COMPOUNDVALUE(245)</f>
        <v>1165</v>
      </c>
      <c r="C74" s="115">
        <v>827896</v>
      </c>
      <c r="D74" s="114">
        <f>_xlfn.COMPOUNDVALUE(246)</f>
        <v>1143</v>
      </c>
      <c r="E74" s="115">
        <v>643458</v>
      </c>
      <c r="F74" s="114">
        <f>_xlfn.COMPOUNDVALUE(247)</f>
        <v>2308</v>
      </c>
      <c r="G74" s="115">
        <v>1471354</v>
      </c>
      <c r="H74" s="114">
        <f>_xlfn.COMPOUNDVALUE(248)</f>
        <v>171</v>
      </c>
      <c r="I74" s="116">
        <v>159923</v>
      </c>
      <c r="J74" s="114">
        <v>253</v>
      </c>
      <c r="K74" s="116">
        <v>58793</v>
      </c>
      <c r="L74" s="114">
        <v>2642</v>
      </c>
      <c r="M74" s="116">
        <v>1370225</v>
      </c>
      <c r="N74" s="12" t="s">
        <v>82</v>
      </c>
    </row>
    <row r="75" spans="1:14" s="17" customFormat="1" ht="15.75" customHeight="1">
      <c r="A75" s="11" t="s">
        <v>83</v>
      </c>
      <c r="B75" s="114">
        <f>_xlfn.COMPOUNDVALUE(249)</f>
        <v>1388</v>
      </c>
      <c r="C75" s="115">
        <v>633632</v>
      </c>
      <c r="D75" s="114">
        <f>_xlfn.COMPOUNDVALUE(250)</f>
        <v>1310</v>
      </c>
      <c r="E75" s="115">
        <v>580975</v>
      </c>
      <c r="F75" s="114">
        <f>_xlfn.COMPOUNDVALUE(251)</f>
        <v>2698</v>
      </c>
      <c r="G75" s="115">
        <v>1214608</v>
      </c>
      <c r="H75" s="114">
        <f>_xlfn.COMPOUNDVALUE(252)</f>
        <v>102</v>
      </c>
      <c r="I75" s="116">
        <v>54940</v>
      </c>
      <c r="J75" s="114">
        <v>236</v>
      </c>
      <c r="K75" s="116">
        <v>113748</v>
      </c>
      <c r="L75" s="114">
        <v>2941</v>
      </c>
      <c r="M75" s="116">
        <v>1273415</v>
      </c>
      <c r="N75" s="12" t="s">
        <v>83</v>
      </c>
    </row>
    <row r="76" spans="1:14" s="17" customFormat="1" ht="15.75" customHeight="1">
      <c r="A76" s="11" t="s">
        <v>84</v>
      </c>
      <c r="B76" s="114">
        <f>_xlfn.COMPOUNDVALUE(253)</f>
        <v>476</v>
      </c>
      <c r="C76" s="115">
        <v>408295</v>
      </c>
      <c r="D76" s="114">
        <f>_xlfn.COMPOUNDVALUE(254)</f>
        <v>435</v>
      </c>
      <c r="E76" s="115">
        <v>174594</v>
      </c>
      <c r="F76" s="114">
        <f>_xlfn.COMPOUNDVALUE(255)</f>
        <v>911</v>
      </c>
      <c r="G76" s="115">
        <v>582890</v>
      </c>
      <c r="H76" s="114">
        <f>_xlfn.COMPOUNDVALUE(256)</f>
        <v>24</v>
      </c>
      <c r="I76" s="116">
        <v>4495</v>
      </c>
      <c r="J76" s="114">
        <v>57</v>
      </c>
      <c r="K76" s="116">
        <v>14494</v>
      </c>
      <c r="L76" s="114">
        <v>970</v>
      </c>
      <c r="M76" s="116">
        <v>592889</v>
      </c>
      <c r="N76" s="12" t="s">
        <v>84</v>
      </c>
    </row>
    <row r="77" spans="1:14" s="17" customFormat="1" ht="15.75" customHeight="1">
      <c r="A77" s="11" t="s">
        <v>85</v>
      </c>
      <c r="B77" s="114">
        <f>_xlfn.COMPOUNDVALUE(257)</f>
        <v>836</v>
      </c>
      <c r="C77" s="115">
        <v>602825</v>
      </c>
      <c r="D77" s="114">
        <f>_xlfn.COMPOUNDVALUE(258)</f>
        <v>797</v>
      </c>
      <c r="E77" s="115">
        <v>302841</v>
      </c>
      <c r="F77" s="114">
        <f>_xlfn.COMPOUNDVALUE(259)</f>
        <v>1633</v>
      </c>
      <c r="G77" s="115">
        <v>905666</v>
      </c>
      <c r="H77" s="114">
        <f>_xlfn.COMPOUNDVALUE(260)</f>
        <v>34</v>
      </c>
      <c r="I77" s="116">
        <v>13477</v>
      </c>
      <c r="J77" s="114">
        <v>102</v>
      </c>
      <c r="K77" s="116">
        <v>15613</v>
      </c>
      <c r="L77" s="114">
        <v>1700</v>
      </c>
      <c r="M77" s="116">
        <v>907802</v>
      </c>
      <c r="N77" s="12" t="s">
        <v>85</v>
      </c>
    </row>
    <row r="78" spans="1:14" s="17" customFormat="1" ht="15.75" customHeight="1">
      <c r="A78" s="13" t="s">
        <v>86</v>
      </c>
      <c r="B78" s="119">
        <f>_xlfn.COMPOUNDVALUE(261)</f>
        <v>1779</v>
      </c>
      <c r="C78" s="120">
        <v>951139</v>
      </c>
      <c r="D78" s="119">
        <f>_xlfn.COMPOUNDVALUE(262)</f>
        <v>1216</v>
      </c>
      <c r="E78" s="120">
        <v>530413</v>
      </c>
      <c r="F78" s="119">
        <f>_xlfn.COMPOUNDVALUE(263)</f>
        <v>2995</v>
      </c>
      <c r="G78" s="120">
        <v>1481551</v>
      </c>
      <c r="H78" s="119">
        <f>_xlfn.COMPOUNDVALUE(264)</f>
        <v>109</v>
      </c>
      <c r="I78" s="121">
        <v>81353</v>
      </c>
      <c r="J78" s="119">
        <v>264</v>
      </c>
      <c r="K78" s="121">
        <v>66253</v>
      </c>
      <c r="L78" s="119">
        <v>3217</v>
      </c>
      <c r="M78" s="121">
        <v>1466450</v>
      </c>
      <c r="N78" s="14" t="s">
        <v>86</v>
      </c>
    </row>
    <row r="79" spans="1:14" s="17" customFormat="1" ht="15.75" customHeight="1">
      <c r="A79" s="13" t="s">
        <v>87</v>
      </c>
      <c r="B79" s="119">
        <f>_xlfn.COMPOUNDVALUE(265)</f>
        <v>903</v>
      </c>
      <c r="C79" s="120">
        <v>600674</v>
      </c>
      <c r="D79" s="119">
        <f>_xlfn.COMPOUNDVALUE(266)</f>
        <v>971</v>
      </c>
      <c r="E79" s="120">
        <v>427686</v>
      </c>
      <c r="F79" s="119">
        <f>_xlfn.COMPOUNDVALUE(267)</f>
        <v>1874</v>
      </c>
      <c r="G79" s="120">
        <v>1028360</v>
      </c>
      <c r="H79" s="119">
        <f>_xlfn.COMPOUNDVALUE(268)</f>
        <v>56</v>
      </c>
      <c r="I79" s="121">
        <v>38278</v>
      </c>
      <c r="J79" s="119">
        <v>180</v>
      </c>
      <c r="K79" s="121">
        <v>36265</v>
      </c>
      <c r="L79" s="119">
        <v>2006</v>
      </c>
      <c r="M79" s="121">
        <v>1026347</v>
      </c>
      <c r="N79" s="14" t="s">
        <v>87</v>
      </c>
    </row>
    <row r="80" spans="1:14" s="17" customFormat="1" ht="15.75" customHeight="1">
      <c r="A80" s="13" t="s">
        <v>88</v>
      </c>
      <c r="B80" s="119">
        <f>_xlfn.COMPOUNDVALUE(269)</f>
        <v>424</v>
      </c>
      <c r="C80" s="120">
        <v>229928</v>
      </c>
      <c r="D80" s="119">
        <f>_xlfn.COMPOUNDVALUE(270)</f>
        <v>393</v>
      </c>
      <c r="E80" s="120">
        <v>157716</v>
      </c>
      <c r="F80" s="119">
        <f>_xlfn.COMPOUNDVALUE(271)</f>
        <v>817</v>
      </c>
      <c r="G80" s="120">
        <v>387644</v>
      </c>
      <c r="H80" s="119">
        <f>_xlfn.COMPOUNDVALUE(272)</f>
        <v>26</v>
      </c>
      <c r="I80" s="121">
        <v>18463</v>
      </c>
      <c r="J80" s="119">
        <v>61</v>
      </c>
      <c r="K80" s="121">
        <v>6492</v>
      </c>
      <c r="L80" s="119">
        <v>864</v>
      </c>
      <c r="M80" s="121">
        <v>375673</v>
      </c>
      <c r="N80" s="14" t="s">
        <v>88</v>
      </c>
    </row>
    <row r="81" spans="1:14" s="17" customFormat="1" ht="15.75" customHeight="1">
      <c r="A81" s="13" t="s">
        <v>89</v>
      </c>
      <c r="B81" s="119">
        <f>_xlfn.COMPOUNDVALUE(273)</f>
        <v>401</v>
      </c>
      <c r="C81" s="120">
        <v>224861</v>
      </c>
      <c r="D81" s="119">
        <f>_xlfn.COMPOUNDVALUE(274)</f>
        <v>351</v>
      </c>
      <c r="E81" s="120">
        <v>137302</v>
      </c>
      <c r="F81" s="119">
        <f>_xlfn.COMPOUNDVALUE(275)</f>
        <v>752</v>
      </c>
      <c r="G81" s="120">
        <v>362163</v>
      </c>
      <c r="H81" s="119">
        <f>_xlfn.COMPOUNDVALUE(276)</f>
        <v>46</v>
      </c>
      <c r="I81" s="121">
        <v>33673</v>
      </c>
      <c r="J81" s="119">
        <v>52</v>
      </c>
      <c r="K81" s="121">
        <v>9002</v>
      </c>
      <c r="L81" s="119">
        <v>819</v>
      </c>
      <c r="M81" s="121">
        <v>337492</v>
      </c>
      <c r="N81" s="14" t="s">
        <v>89</v>
      </c>
    </row>
    <row r="82" spans="1:14" s="17" customFormat="1" ht="15.75" customHeight="1">
      <c r="A82" s="13" t="s">
        <v>90</v>
      </c>
      <c r="B82" s="119">
        <f>_xlfn.COMPOUNDVALUE(277)</f>
        <v>684</v>
      </c>
      <c r="C82" s="120">
        <v>395390</v>
      </c>
      <c r="D82" s="119">
        <f>_xlfn.COMPOUNDVALUE(278)</f>
        <v>630</v>
      </c>
      <c r="E82" s="120">
        <v>246838</v>
      </c>
      <c r="F82" s="119">
        <f>_xlfn.COMPOUNDVALUE(279)</f>
        <v>1314</v>
      </c>
      <c r="G82" s="120">
        <v>642228</v>
      </c>
      <c r="H82" s="119">
        <f>_xlfn.COMPOUNDVALUE(280)</f>
        <v>44</v>
      </c>
      <c r="I82" s="121">
        <v>33472</v>
      </c>
      <c r="J82" s="119">
        <v>65</v>
      </c>
      <c r="K82" s="121">
        <v>10451</v>
      </c>
      <c r="L82" s="119">
        <v>1389</v>
      </c>
      <c r="M82" s="121">
        <v>619208</v>
      </c>
      <c r="N82" s="14" t="s">
        <v>90</v>
      </c>
    </row>
    <row r="83" spans="1:14" s="17" customFormat="1" ht="15.75" customHeight="1">
      <c r="A83" s="13" t="s">
        <v>91</v>
      </c>
      <c r="B83" s="119">
        <f>_xlfn.COMPOUNDVALUE(281)</f>
        <v>275</v>
      </c>
      <c r="C83" s="120">
        <v>169034</v>
      </c>
      <c r="D83" s="119">
        <f>_xlfn.COMPOUNDVALUE(282)</f>
        <v>242</v>
      </c>
      <c r="E83" s="120">
        <v>95216</v>
      </c>
      <c r="F83" s="119">
        <f>_xlfn.COMPOUNDVALUE(283)</f>
        <v>517</v>
      </c>
      <c r="G83" s="120">
        <v>264251</v>
      </c>
      <c r="H83" s="119">
        <f>_xlfn.COMPOUNDVALUE(284)</f>
        <v>18</v>
      </c>
      <c r="I83" s="121">
        <v>13475</v>
      </c>
      <c r="J83" s="119">
        <v>69</v>
      </c>
      <c r="K83" s="121">
        <v>15620</v>
      </c>
      <c r="L83" s="119">
        <v>561</v>
      </c>
      <c r="M83" s="121">
        <v>266395</v>
      </c>
      <c r="N83" s="14" t="s">
        <v>91</v>
      </c>
    </row>
    <row r="84" spans="1:14" s="17" customFormat="1" ht="15.75" customHeight="1">
      <c r="A84" s="13" t="s">
        <v>92</v>
      </c>
      <c r="B84" s="119">
        <f>_xlfn.COMPOUNDVALUE(285)</f>
        <v>489</v>
      </c>
      <c r="C84" s="120">
        <v>286705</v>
      </c>
      <c r="D84" s="119">
        <f>_xlfn.COMPOUNDVALUE(286)</f>
        <v>562</v>
      </c>
      <c r="E84" s="120">
        <v>207532</v>
      </c>
      <c r="F84" s="119">
        <f>_xlfn.COMPOUNDVALUE(287)</f>
        <v>1051</v>
      </c>
      <c r="G84" s="120">
        <v>494236</v>
      </c>
      <c r="H84" s="119">
        <f>_xlfn.COMPOUNDVALUE(288)</f>
        <v>41</v>
      </c>
      <c r="I84" s="121">
        <v>26243</v>
      </c>
      <c r="J84" s="119">
        <v>178</v>
      </c>
      <c r="K84" s="121">
        <v>28683</v>
      </c>
      <c r="L84" s="119">
        <v>1119</v>
      </c>
      <c r="M84" s="121">
        <v>496676</v>
      </c>
      <c r="N84" s="14" t="s">
        <v>92</v>
      </c>
    </row>
    <row r="85" spans="1:14" s="17" customFormat="1" ht="15.75" customHeight="1">
      <c r="A85" s="15" t="s">
        <v>93</v>
      </c>
      <c r="B85" s="124">
        <v>24378</v>
      </c>
      <c r="C85" s="125">
        <v>14334008</v>
      </c>
      <c r="D85" s="124">
        <v>22813</v>
      </c>
      <c r="E85" s="125">
        <v>10110690</v>
      </c>
      <c r="F85" s="124">
        <v>47191</v>
      </c>
      <c r="G85" s="125">
        <v>24444698</v>
      </c>
      <c r="H85" s="124">
        <v>2208</v>
      </c>
      <c r="I85" s="126">
        <v>1848456</v>
      </c>
      <c r="J85" s="124">
        <v>4003</v>
      </c>
      <c r="K85" s="126">
        <v>922663</v>
      </c>
      <c r="L85" s="124">
        <v>51228</v>
      </c>
      <c r="M85" s="126">
        <v>23518905</v>
      </c>
      <c r="N85" s="16" t="s">
        <v>123</v>
      </c>
    </row>
    <row r="86" spans="1:14" s="20" customFormat="1" ht="15.75" customHeight="1">
      <c r="A86" s="23"/>
      <c r="B86" s="129"/>
      <c r="C86" s="130"/>
      <c r="D86" s="129"/>
      <c r="E86" s="130"/>
      <c r="F86" s="131"/>
      <c r="G86" s="130"/>
      <c r="H86" s="131"/>
      <c r="I86" s="130"/>
      <c r="J86" s="131"/>
      <c r="K86" s="130"/>
      <c r="L86" s="131"/>
      <c r="M86" s="130"/>
      <c r="N86" s="24"/>
    </row>
    <row r="87" spans="1:14" ht="15.75" customHeight="1">
      <c r="A87" s="13" t="s">
        <v>94</v>
      </c>
      <c r="B87" s="119">
        <f>_xlfn.COMPOUNDVALUE(289)</f>
        <v>2967</v>
      </c>
      <c r="C87" s="120">
        <v>1686730</v>
      </c>
      <c r="D87" s="119">
        <f>_xlfn.COMPOUNDVALUE(290)</f>
        <v>2565</v>
      </c>
      <c r="E87" s="120">
        <v>1181200</v>
      </c>
      <c r="F87" s="119">
        <f>_xlfn.COMPOUNDVALUE(291)</f>
        <v>5532</v>
      </c>
      <c r="G87" s="120">
        <v>2867931</v>
      </c>
      <c r="H87" s="119">
        <f>_xlfn.COMPOUNDVALUE(292)</f>
        <v>271</v>
      </c>
      <c r="I87" s="121">
        <v>217564</v>
      </c>
      <c r="J87" s="119">
        <v>411</v>
      </c>
      <c r="K87" s="121">
        <v>98959</v>
      </c>
      <c r="L87" s="119">
        <v>5957</v>
      </c>
      <c r="M87" s="121">
        <v>2749325</v>
      </c>
      <c r="N87" s="14" t="s">
        <v>94</v>
      </c>
    </row>
    <row r="88" spans="1:14" ht="15.75" customHeight="1">
      <c r="A88" s="13" t="s">
        <v>95</v>
      </c>
      <c r="B88" s="119">
        <f>_xlfn.COMPOUNDVALUE(293)</f>
        <v>2635</v>
      </c>
      <c r="C88" s="120">
        <v>1427414</v>
      </c>
      <c r="D88" s="119">
        <f>_xlfn.COMPOUNDVALUE(294)</f>
        <v>1976</v>
      </c>
      <c r="E88" s="120">
        <v>823206</v>
      </c>
      <c r="F88" s="119">
        <f>_xlfn.COMPOUNDVALUE(295)</f>
        <v>4611</v>
      </c>
      <c r="G88" s="120">
        <v>2250620</v>
      </c>
      <c r="H88" s="119">
        <f>_xlfn.COMPOUNDVALUE(296)</f>
        <v>180</v>
      </c>
      <c r="I88" s="121">
        <v>101129</v>
      </c>
      <c r="J88" s="119">
        <v>342</v>
      </c>
      <c r="K88" s="121">
        <v>79649</v>
      </c>
      <c r="L88" s="119">
        <v>4918</v>
      </c>
      <c r="M88" s="121">
        <v>2229141</v>
      </c>
      <c r="N88" s="14" t="s">
        <v>95</v>
      </c>
    </row>
    <row r="89" spans="1:14" ht="15.75" customHeight="1">
      <c r="A89" s="13" t="s">
        <v>96</v>
      </c>
      <c r="B89" s="119">
        <f>_xlfn.COMPOUNDVALUE(297)</f>
        <v>1003</v>
      </c>
      <c r="C89" s="120">
        <v>513834</v>
      </c>
      <c r="D89" s="119">
        <f>_xlfn.COMPOUNDVALUE(298)</f>
        <v>590</v>
      </c>
      <c r="E89" s="120">
        <v>222037</v>
      </c>
      <c r="F89" s="119">
        <f>_xlfn.COMPOUNDVALUE(299)</f>
        <v>1593</v>
      </c>
      <c r="G89" s="120">
        <v>735871</v>
      </c>
      <c r="H89" s="119">
        <f>_xlfn.COMPOUNDVALUE(300)</f>
        <v>60</v>
      </c>
      <c r="I89" s="121">
        <v>36789</v>
      </c>
      <c r="J89" s="119">
        <v>130</v>
      </c>
      <c r="K89" s="121">
        <v>34262</v>
      </c>
      <c r="L89" s="119">
        <v>1688</v>
      </c>
      <c r="M89" s="121">
        <v>733344</v>
      </c>
      <c r="N89" s="14" t="s">
        <v>96</v>
      </c>
    </row>
    <row r="90" spans="1:14" ht="15.75" customHeight="1">
      <c r="A90" s="13" t="s">
        <v>97</v>
      </c>
      <c r="B90" s="119">
        <f>_xlfn.COMPOUNDVALUE(301)</f>
        <v>331</v>
      </c>
      <c r="C90" s="120">
        <v>212337</v>
      </c>
      <c r="D90" s="119">
        <f>_xlfn.COMPOUNDVALUE(302)</f>
        <v>395</v>
      </c>
      <c r="E90" s="120">
        <v>148035</v>
      </c>
      <c r="F90" s="119">
        <f>_xlfn.COMPOUNDVALUE(303)</f>
        <v>726</v>
      </c>
      <c r="G90" s="120">
        <v>360372</v>
      </c>
      <c r="H90" s="119">
        <f>_xlfn.COMPOUNDVALUE(304)</f>
        <v>7</v>
      </c>
      <c r="I90" s="121">
        <v>2464</v>
      </c>
      <c r="J90" s="119">
        <v>106</v>
      </c>
      <c r="K90" s="121">
        <v>11059</v>
      </c>
      <c r="L90" s="119">
        <v>752</v>
      </c>
      <c r="M90" s="121">
        <v>368967</v>
      </c>
      <c r="N90" s="14" t="s">
        <v>97</v>
      </c>
    </row>
    <row r="91" spans="1:14" s="17" customFormat="1" ht="15.75" customHeight="1">
      <c r="A91" s="15" t="s">
        <v>98</v>
      </c>
      <c r="B91" s="124">
        <v>6936</v>
      </c>
      <c r="C91" s="125">
        <v>3840316</v>
      </c>
      <c r="D91" s="124">
        <v>5526</v>
      </c>
      <c r="E91" s="125">
        <v>2374478</v>
      </c>
      <c r="F91" s="124">
        <v>12462</v>
      </c>
      <c r="G91" s="125">
        <v>6214793</v>
      </c>
      <c r="H91" s="124">
        <v>518</v>
      </c>
      <c r="I91" s="126">
        <v>357946</v>
      </c>
      <c r="J91" s="124">
        <v>989</v>
      </c>
      <c r="K91" s="126">
        <v>223930</v>
      </c>
      <c r="L91" s="124">
        <v>13315</v>
      </c>
      <c r="M91" s="126">
        <v>6080777</v>
      </c>
      <c r="N91" s="16" t="s">
        <v>124</v>
      </c>
    </row>
    <row r="92" spans="1:14" s="17" customFormat="1" ht="15.75" customHeight="1">
      <c r="A92" s="23"/>
      <c r="B92" s="129"/>
      <c r="C92" s="130"/>
      <c r="D92" s="129"/>
      <c r="E92" s="130"/>
      <c r="F92" s="131"/>
      <c r="G92" s="130"/>
      <c r="H92" s="131"/>
      <c r="I92" s="130"/>
      <c r="J92" s="131"/>
      <c r="K92" s="130"/>
      <c r="L92" s="131"/>
      <c r="M92" s="130"/>
      <c r="N92" s="24"/>
    </row>
    <row r="93" spans="1:14" s="17" customFormat="1" ht="15.75" customHeight="1">
      <c r="A93" s="11" t="s">
        <v>99</v>
      </c>
      <c r="B93" s="114">
        <f>_xlfn.COMPOUNDVALUE(305)</f>
        <v>2059</v>
      </c>
      <c r="C93" s="115">
        <v>1204939</v>
      </c>
      <c r="D93" s="114">
        <f>_xlfn.COMPOUNDVALUE(306)</f>
        <v>1764</v>
      </c>
      <c r="E93" s="115">
        <v>782066</v>
      </c>
      <c r="F93" s="114">
        <f>_xlfn.COMPOUNDVALUE(307)</f>
        <v>3823</v>
      </c>
      <c r="G93" s="115">
        <v>1987005</v>
      </c>
      <c r="H93" s="114">
        <f>_xlfn.COMPOUNDVALUE(308)</f>
        <v>122</v>
      </c>
      <c r="I93" s="116">
        <v>48121</v>
      </c>
      <c r="J93" s="114">
        <v>287</v>
      </c>
      <c r="K93" s="116">
        <v>8082</v>
      </c>
      <c r="L93" s="114">
        <v>4048</v>
      </c>
      <c r="M93" s="116">
        <v>1946966</v>
      </c>
      <c r="N93" s="25" t="s">
        <v>99</v>
      </c>
    </row>
    <row r="94" spans="1:14" s="17" customFormat="1" ht="15.75" customHeight="1">
      <c r="A94" s="13" t="s">
        <v>100</v>
      </c>
      <c r="B94" s="119">
        <f>_xlfn.COMPOUNDVALUE(309)</f>
        <v>408</v>
      </c>
      <c r="C94" s="120">
        <v>251398</v>
      </c>
      <c r="D94" s="119">
        <f>_xlfn.COMPOUNDVALUE(310)</f>
        <v>437</v>
      </c>
      <c r="E94" s="120">
        <v>152098</v>
      </c>
      <c r="F94" s="119">
        <f>_xlfn.COMPOUNDVALUE(311)</f>
        <v>845</v>
      </c>
      <c r="G94" s="120">
        <v>403495</v>
      </c>
      <c r="H94" s="119">
        <f>_xlfn.COMPOUNDVALUE(312)</f>
        <v>10</v>
      </c>
      <c r="I94" s="121">
        <v>820</v>
      </c>
      <c r="J94" s="119">
        <v>100</v>
      </c>
      <c r="K94" s="121">
        <v>15723</v>
      </c>
      <c r="L94" s="119">
        <v>886</v>
      </c>
      <c r="M94" s="121">
        <v>418398</v>
      </c>
      <c r="N94" s="14" t="s">
        <v>100</v>
      </c>
    </row>
    <row r="95" spans="1:14" s="17" customFormat="1" ht="15.75" customHeight="1">
      <c r="A95" s="13" t="s">
        <v>101</v>
      </c>
      <c r="B95" s="119">
        <f>_xlfn.COMPOUNDVALUE(313)</f>
        <v>616</v>
      </c>
      <c r="C95" s="120">
        <v>371371</v>
      </c>
      <c r="D95" s="119">
        <f>_xlfn.COMPOUNDVALUE(314)</f>
        <v>958</v>
      </c>
      <c r="E95" s="120">
        <v>341146</v>
      </c>
      <c r="F95" s="119">
        <f>_xlfn.COMPOUNDVALUE(315)</f>
        <v>1574</v>
      </c>
      <c r="G95" s="120">
        <v>712517</v>
      </c>
      <c r="H95" s="119">
        <f>_xlfn.COMPOUNDVALUE(316)</f>
        <v>24</v>
      </c>
      <c r="I95" s="121">
        <v>12727</v>
      </c>
      <c r="J95" s="119">
        <v>79</v>
      </c>
      <c r="K95" s="121">
        <v>11080</v>
      </c>
      <c r="L95" s="119">
        <v>1622</v>
      </c>
      <c r="M95" s="121">
        <v>710870</v>
      </c>
      <c r="N95" s="14" t="s">
        <v>101</v>
      </c>
    </row>
    <row r="96" spans="1:14" s="17" customFormat="1" ht="15.75" customHeight="1">
      <c r="A96" s="13" t="s">
        <v>102</v>
      </c>
      <c r="B96" s="119">
        <f>_xlfn.COMPOUNDVALUE(317)</f>
        <v>806</v>
      </c>
      <c r="C96" s="120">
        <v>491414</v>
      </c>
      <c r="D96" s="119">
        <f>_xlfn.COMPOUNDVALUE(318)</f>
        <v>967</v>
      </c>
      <c r="E96" s="120">
        <v>368703</v>
      </c>
      <c r="F96" s="119">
        <f>_xlfn.COMPOUNDVALUE(319)</f>
        <v>1773</v>
      </c>
      <c r="G96" s="120">
        <v>860117</v>
      </c>
      <c r="H96" s="119">
        <f>_xlfn.COMPOUNDVALUE(320)</f>
        <v>61</v>
      </c>
      <c r="I96" s="121">
        <v>40455</v>
      </c>
      <c r="J96" s="119">
        <v>105</v>
      </c>
      <c r="K96" s="121">
        <v>13617</v>
      </c>
      <c r="L96" s="119">
        <v>1863</v>
      </c>
      <c r="M96" s="121">
        <v>833279</v>
      </c>
      <c r="N96" s="14" t="s">
        <v>102</v>
      </c>
    </row>
    <row r="97" spans="1:14" s="17" customFormat="1" ht="15.75" customHeight="1">
      <c r="A97" s="13" t="s">
        <v>103</v>
      </c>
      <c r="B97" s="119">
        <f>_xlfn.COMPOUNDVALUE(321)</f>
        <v>570</v>
      </c>
      <c r="C97" s="120">
        <v>318461</v>
      </c>
      <c r="D97" s="119">
        <f>_xlfn.COMPOUNDVALUE(322)</f>
        <v>490</v>
      </c>
      <c r="E97" s="120">
        <v>166551</v>
      </c>
      <c r="F97" s="119">
        <f>_xlfn.COMPOUNDVALUE(323)</f>
        <v>1060</v>
      </c>
      <c r="G97" s="120">
        <v>485013</v>
      </c>
      <c r="H97" s="119">
        <f>_xlfn.COMPOUNDVALUE(324)</f>
        <v>29</v>
      </c>
      <c r="I97" s="121">
        <v>12790</v>
      </c>
      <c r="J97" s="119">
        <v>90</v>
      </c>
      <c r="K97" s="121">
        <v>17393</v>
      </c>
      <c r="L97" s="119">
        <v>1114</v>
      </c>
      <c r="M97" s="121">
        <v>489615</v>
      </c>
      <c r="N97" s="14" t="s">
        <v>103</v>
      </c>
    </row>
    <row r="98" spans="1:14" s="17" customFormat="1" ht="15.75" customHeight="1">
      <c r="A98" s="13" t="s">
        <v>104</v>
      </c>
      <c r="B98" s="119">
        <f>_xlfn.COMPOUNDVALUE(325)</f>
        <v>1083</v>
      </c>
      <c r="C98" s="120">
        <v>573390</v>
      </c>
      <c r="D98" s="119">
        <f>_xlfn.COMPOUNDVALUE(326)</f>
        <v>963</v>
      </c>
      <c r="E98" s="120">
        <v>354197</v>
      </c>
      <c r="F98" s="119">
        <f>_xlfn.COMPOUNDVALUE(327)</f>
        <v>2046</v>
      </c>
      <c r="G98" s="120">
        <v>927587</v>
      </c>
      <c r="H98" s="119">
        <f>_xlfn.COMPOUNDVALUE(328)</f>
        <v>54</v>
      </c>
      <c r="I98" s="121">
        <v>37160</v>
      </c>
      <c r="J98" s="119">
        <v>166</v>
      </c>
      <c r="K98" s="121">
        <v>22876</v>
      </c>
      <c r="L98" s="119">
        <v>2156</v>
      </c>
      <c r="M98" s="121">
        <v>913302</v>
      </c>
      <c r="N98" s="14" t="s">
        <v>104</v>
      </c>
    </row>
    <row r="99" spans="1:14" s="17" customFormat="1" ht="15.75" customHeight="1">
      <c r="A99" s="13" t="s">
        <v>105</v>
      </c>
      <c r="B99" s="119">
        <f>_xlfn.COMPOUNDVALUE(329)</f>
        <v>626</v>
      </c>
      <c r="C99" s="120">
        <v>421418</v>
      </c>
      <c r="D99" s="119">
        <f>_xlfn.COMPOUNDVALUE(330)</f>
        <v>1141</v>
      </c>
      <c r="E99" s="120">
        <v>383600</v>
      </c>
      <c r="F99" s="119">
        <f>_xlfn.COMPOUNDVALUE(331)</f>
        <v>1767</v>
      </c>
      <c r="G99" s="120">
        <v>805019</v>
      </c>
      <c r="H99" s="119">
        <f>_xlfn.COMPOUNDVALUE(332)</f>
        <v>26</v>
      </c>
      <c r="I99" s="121">
        <v>15607</v>
      </c>
      <c r="J99" s="119">
        <v>82</v>
      </c>
      <c r="K99" s="121">
        <v>14582</v>
      </c>
      <c r="L99" s="119">
        <v>1834</v>
      </c>
      <c r="M99" s="121">
        <v>803994</v>
      </c>
      <c r="N99" s="14" t="s">
        <v>105</v>
      </c>
    </row>
    <row r="100" spans="1:14" s="17" customFormat="1" ht="15.75" customHeight="1">
      <c r="A100" s="15" t="s">
        <v>106</v>
      </c>
      <c r="B100" s="124">
        <v>6168</v>
      </c>
      <c r="C100" s="125">
        <v>3632391</v>
      </c>
      <c r="D100" s="124">
        <v>6720</v>
      </c>
      <c r="E100" s="125">
        <v>2548361</v>
      </c>
      <c r="F100" s="124">
        <v>12888</v>
      </c>
      <c r="G100" s="125">
        <v>6180751</v>
      </c>
      <c r="H100" s="124">
        <v>326</v>
      </c>
      <c r="I100" s="126">
        <v>167681</v>
      </c>
      <c r="J100" s="124">
        <v>909</v>
      </c>
      <c r="K100" s="126">
        <v>103352</v>
      </c>
      <c r="L100" s="124">
        <v>13523</v>
      </c>
      <c r="M100" s="126">
        <v>6116423</v>
      </c>
      <c r="N100" s="16" t="s">
        <v>125</v>
      </c>
    </row>
    <row r="101" spans="1:14" s="17" customFormat="1" ht="15.75" customHeight="1" thickBot="1">
      <c r="A101" s="18"/>
      <c r="B101" s="144"/>
      <c r="C101" s="145"/>
      <c r="D101" s="144"/>
      <c r="E101" s="145"/>
      <c r="F101" s="146"/>
      <c r="G101" s="145"/>
      <c r="H101" s="146"/>
      <c r="I101" s="145"/>
      <c r="J101" s="146"/>
      <c r="K101" s="145"/>
      <c r="L101" s="146"/>
      <c r="M101" s="145"/>
      <c r="N101" s="19"/>
    </row>
    <row r="102" spans="1:14" s="17" customFormat="1" ht="15.75" customHeight="1" thickBot="1" thickTop="1">
      <c r="A102" s="21" t="s">
        <v>17</v>
      </c>
      <c r="B102" s="147">
        <v>102549</v>
      </c>
      <c r="C102" s="148">
        <v>60174892</v>
      </c>
      <c r="D102" s="147">
        <v>89825</v>
      </c>
      <c r="E102" s="148">
        <v>40212199</v>
      </c>
      <c r="F102" s="147">
        <v>192374</v>
      </c>
      <c r="G102" s="148">
        <v>100387092</v>
      </c>
      <c r="H102" s="147">
        <v>7649</v>
      </c>
      <c r="I102" s="149">
        <v>5913994</v>
      </c>
      <c r="J102" s="147">
        <v>15915</v>
      </c>
      <c r="K102" s="149">
        <v>3828405</v>
      </c>
      <c r="L102" s="147">
        <v>207134</v>
      </c>
      <c r="M102" s="149">
        <v>98301504</v>
      </c>
      <c r="N102" s="22" t="s">
        <v>118</v>
      </c>
    </row>
    <row r="103" spans="1:14" ht="13.5">
      <c r="A103" s="193" t="s">
        <v>169</v>
      </c>
      <c r="B103" s="193"/>
      <c r="C103" s="193"/>
      <c r="D103" s="193"/>
      <c r="E103" s="193"/>
      <c r="F103" s="193"/>
      <c r="G103" s="193"/>
      <c r="H103" s="193"/>
      <c r="I103" s="193"/>
      <c r="J103" s="27"/>
      <c r="K103" s="27"/>
      <c r="L103" s="2"/>
      <c r="M103" s="2"/>
      <c r="N103" s="2"/>
    </row>
    <row r="104" spans="2:13" ht="13.5">
      <c r="B104" s="42"/>
      <c r="C104" s="42"/>
      <c r="D104" s="42"/>
      <c r="E104" s="42"/>
      <c r="F104" s="42"/>
      <c r="G104" s="42"/>
      <c r="H104" s="42"/>
      <c r="I104" s="42"/>
      <c r="J104" s="42"/>
      <c r="K104" s="42"/>
      <c r="L104" s="42"/>
      <c r="M104" s="42"/>
    </row>
    <row r="105" spans="2:10" ht="13.5">
      <c r="B105" s="28"/>
      <c r="C105" s="28"/>
      <c r="D105" s="28"/>
      <c r="E105" s="28"/>
      <c r="F105" s="28"/>
      <c r="G105" s="28"/>
      <c r="H105" s="28"/>
      <c r="J105" s="28"/>
    </row>
    <row r="106" spans="2:10" ht="13.5">
      <c r="B106" s="28"/>
      <c r="C106" s="28"/>
      <c r="D106" s="28"/>
      <c r="E106" s="28"/>
      <c r="F106" s="28"/>
      <c r="G106" s="28"/>
      <c r="H106" s="28"/>
      <c r="J106" s="28"/>
    </row>
    <row r="107" spans="2:10" ht="13.5">
      <c r="B107" s="28"/>
      <c r="C107" s="28"/>
      <c r="D107" s="28"/>
      <c r="E107" s="28"/>
      <c r="F107" s="28"/>
      <c r="G107" s="28"/>
      <c r="H107" s="28"/>
      <c r="J107" s="28"/>
    </row>
    <row r="108" spans="2:10" ht="13.5">
      <c r="B108" s="28"/>
      <c r="C108" s="28"/>
      <c r="D108" s="28"/>
      <c r="E108" s="28"/>
      <c r="F108" s="28"/>
      <c r="G108" s="28"/>
      <c r="H108" s="28"/>
      <c r="J108" s="28"/>
    </row>
    <row r="109" spans="2:10" ht="13.5">
      <c r="B109" s="28"/>
      <c r="C109" s="28"/>
      <c r="D109" s="28"/>
      <c r="E109" s="28"/>
      <c r="F109" s="28"/>
      <c r="G109" s="28"/>
      <c r="H109" s="28"/>
      <c r="J109" s="28"/>
    </row>
    <row r="110" spans="2:10" ht="13.5">
      <c r="B110" s="28"/>
      <c r="C110" s="28"/>
      <c r="D110" s="28"/>
      <c r="E110" s="28"/>
      <c r="F110" s="28"/>
      <c r="G110" s="28"/>
      <c r="H110" s="28"/>
      <c r="J110" s="28"/>
    </row>
    <row r="111" spans="2:10" ht="13.5">
      <c r="B111" s="28"/>
      <c r="C111" s="28"/>
      <c r="D111" s="28"/>
      <c r="E111" s="28"/>
      <c r="F111" s="28"/>
      <c r="G111" s="28"/>
      <c r="H111" s="28"/>
      <c r="J111" s="28"/>
    </row>
    <row r="112" spans="2:10" ht="13.5">
      <c r="B112" s="28"/>
      <c r="C112" s="28"/>
      <c r="D112" s="28"/>
      <c r="E112" s="28"/>
      <c r="F112" s="28"/>
      <c r="G112" s="28"/>
      <c r="H112" s="28"/>
      <c r="J112" s="28"/>
    </row>
    <row r="113" spans="2:10" ht="13.5">
      <c r="B113" s="28"/>
      <c r="C113" s="28"/>
      <c r="D113" s="28"/>
      <c r="E113" s="28"/>
      <c r="F113" s="28"/>
      <c r="G113" s="28"/>
      <c r="H113" s="28"/>
      <c r="J113" s="28"/>
    </row>
    <row r="114" spans="2:10" ht="13.5">
      <c r="B114" s="28"/>
      <c r="C114" s="28"/>
      <c r="D114" s="28"/>
      <c r="E114" s="28"/>
      <c r="F114" s="28"/>
      <c r="G114" s="28"/>
      <c r="H114" s="28"/>
      <c r="J114" s="28"/>
    </row>
    <row r="115" spans="2:10" ht="13.5">
      <c r="B115" s="28"/>
      <c r="C115" s="28"/>
      <c r="D115" s="28"/>
      <c r="E115" s="28"/>
      <c r="F115" s="28"/>
      <c r="G115" s="28"/>
      <c r="H115" s="28"/>
      <c r="J115" s="28"/>
    </row>
    <row r="116" spans="2:10" ht="13.5">
      <c r="B116" s="28"/>
      <c r="C116" s="28"/>
      <c r="D116" s="28"/>
      <c r="E116" s="28"/>
      <c r="F116" s="28"/>
      <c r="G116" s="28"/>
      <c r="H116" s="28"/>
      <c r="J116" s="28"/>
    </row>
    <row r="117" spans="2:10" ht="13.5">
      <c r="B117" s="28"/>
      <c r="C117" s="28"/>
      <c r="D117" s="28"/>
      <c r="E117" s="28"/>
      <c r="F117" s="28"/>
      <c r="G117" s="28"/>
      <c r="H117" s="28"/>
      <c r="J117" s="28"/>
    </row>
  </sheetData>
  <sheetProtection/>
  <mergeCells count="11">
    <mergeCell ref="A103:I103"/>
    <mergeCell ref="A2:G2"/>
    <mergeCell ref="A3:A5"/>
    <mergeCell ref="B3:G3"/>
    <mergeCell ref="H3:I4"/>
    <mergeCell ref="N3:N5"/>
    <mergeCell ref="B4:C4"/>
    <mergeCell ref="D4:E4"/>
    <mergeCell ref="F4:G4"/>
    <mergeCell ref="J3:K4"/>
    <mergeCell ref="L3:M4"/>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81" r:id="rId1"/>
  <headerFooter alignWithMargins="0">
    <oddFooter>&amp;R大阪国税局
消費税
(H29)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03"/>
  <sheetViews>
    <sheetView zoomScaleSheetLayoutView="85" workbookViewId="0" topLeftCell="A1">
      <selection activeCell="A1" sqref="A1"/>
    </sheetView>
  </sheetViews>
  <sheetFormatPr defaultColWidth="9.140625" defaultRowHeight="15"/>
  <cols>
    <col min="1" max="1" width="11.14062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3" ht="13.5">
      <c r="A1" s="1" t="s">
        <v>174</v>
      </c>
      <c r="B1" s="1"/>
      <c r="C1" s="1"/>
      <c r="D1" s="1"/>
      <c r="E1" s="1"/>
      <c r="F1" s="1"/>
      <c r="G1" s="1"/>
      <c r="H1" s="1"/>
      <c r="I1" s="1"/>
      <c r="J1" s="1"/>
      <c r="K1" s="1"/>
      <c r="L1" s="2"/>
      <c r="M1" s="2"/>
    </row>
    <row r="2" spans="1:13" ht="14.25" thickBot="1">
      <c r="A2" s="209" t="s">
        <v>107</v>
      </c>
      <c r="B2" s="209"/>
      <c r="C2" s="209"/>
      <c r="D2" s="209"/>
      <c r="E2" s="209"/>
      <c r="F2" s="209"/>
      <c r="G2" s="209"/>
      <c r="H2" s="209"/>
      <c r="I2" s="209"/>
      <c r="J2" s="27"/>
      <c r="K2" s="27"/>
      <c r="L2" s="2"/>
      <c r="M2" s="2"/>
    </row>
    <row r="3" spans="1:14" ht="19.5" customHeight="1">
      <c r="A3" s="205" t="s">
        <v>1</v>
      </c>
      <c r="B3" s="208" t="s">
        <v>2</v>
      </c>
      <c r="C3" s="208"/>
      <c r="D3" s="208"/>
      <c r="E3" s="208"/>
      <c r="F3" s="208"/>
      <c r="G3" s="208"/>
      <c r="H3" s="204" t="s">
        <v>3</v>
      </c>
      <c r="I3" s="202"/>
      <c r="J3" s="201" t="s">
        <v>4</v>
      </c>
      <c r="K3" s="202"/>
      <c r="L3" s="204" t="s">
        <v>5</v>
      </c>
      <c r="M3" s="202"/>
      <c r="N3" s="195" t="s">
        <v>108</v>
      </c>
    </row>
    <row r="4" spans="1:14" ht="17.25" customHeight="1">
      <c r="A4" s="206"/>
      <c r="B4" s="199" t="s">
        <v>7</v>
      </c>
      <c r="C4" s="200"/>
      <c r="D4" s="199" t="s">
        <v>8</v>
      </c>
      <c r="E4" s="200"/>
      <c r="F4" s="199" t="s">
        <v>9</v>
      </c>
      <c r="G4" s="200"/>
      <c r="H4" s="199"/>
      <c r="I4" s="203"/>
      <c r="J4" s="199"/>
      <c r="K4" s="203"/>
      <c r="L4" s="199"/>
      <c r="M4" s="203"/>
      <c r="N4" s="196"/>
    </row>
    <row r="5" spans="1:14" ht="28.5" customHeight="1">
      <c r="A5" s="207"/>
      <c r="B5" s="37" t="s">
        <v>10</v>
      </c>
      <c r="C5" s="38" t="s">
        <v>11</v>
      </c>
      <c r="D5" s="37" t="s">
        <v>10</v>
      </c>
      <c r="E5" s="38" t="s">
        <v>11</v>
      </c>
      <c r="F5" s="37" t="s">
        <v>10</v>
      </c>
      <c r="G5" s="41" t="s">
        <v>12</v>
      </c>
      <c r="H5" s="37" t="s">
        <v>115</v>
      </c>
      <c r="I5" s="40" t="s">
        <v>13</v>
      </c>
      <c r="J5" s="37" t="s">
        <v>115</v>
      </c>
      <c r="K5" s="40" t="s">
        <v>14</v>
      </c>
      <c r="L5" s="37" t="s">
        <v>115</v>
      </c>
      <c r="M5" s="39" t="s">
        <v>116</v>
      </c>
      <c r="N5" s="197"/>
    </row>
    <row r="6" spans="1:14" s="29" customFormat="1" ht="10.5">
      <c r="A6" s="5"/>
      <c r="B6" s="6" t="s">
        <v>15</v>
      </c>
      <c r="C6" s="7" t="s">
        <v>16</v>
      </c>
      <c r="D6" s="6" t="s">
        <v>15</v>
      </c>
      <c r="E6" s="7" t="s">
        <v>16</v>
      </c>
      <c r="F6" s="6" t="s">
        <v>15</v>
      </c>
      <c r="G6" s="7" t="s">
        <v>16</v>
      </c>
      <c r="H6" s="6" t="s">
        <v>15</v>
      </c>
      <c r="I6" s="8" t="s">
        <v>16</v>
      </c>
      <c r="J6" s="6" t="s">
        <v>15</v>
      </c>
      <c r="K6" s="8" t="s">
        <v>16</v>
      </c>
      <c r="L6" s="6" t="s">
        <v>172</v>
      </c>
      <c r="M6" s="8" t="s">
        <v>16</v>
      </c>
      <c r="N6" s="9"/>
    </row>
    <row r="7" spans="1:14" ht="15.75" customHeight="1">
      <c r="A7" s="11" t="s">
        <v>18</v>
      </c>
      <c r="B7" s="114">
        <f>_xlfn.COMPOUNDVALUE(333)</f>
        <v>2325</v>
      </c>
      <c r="C7" s="115">
        <v>15102758</v>
      </c>
      <c r="D7" s="114">
        <f>_xlfn.COMPOUNDVALUE(334)</f>
        <v>835</v>
      </c>
      <c r="E7" s="115">
        <v>522547</v>
      </c>
      <c r="F7" s="114">
        <f>_xlfn.COMPOUNDVALUE(335)</f>
        <v>3160</v>
      </c>
      <c r="G7" s="115">
        <v>15625305</v>
      </c>
      <c r="H7" s="114">
        <f>_xlfn.COMPOUNDVALUE(336)</f>
        <v>197</v>
      </c>
      <c r="I7" s="116">
        <v>6403366</v>
      </c>
      <c r="J7" s="114">
        <v>208</v>
      </c>
      <c r="K7" s="116">
        <v>-20810</v>
      </c>
      <c r="L7" s="114">
        <v>3380</v>
      </c>
      <c r="M7" s="116">
        <v>9201128</v>
      </c>
      <c r="N7" s="12" t="s">
        <v>18</v>
      </c>
    </row>
    <row r="8" spans="1:14" ht="15.75" customHeight="1">
      <c r="A8" s="13" t="s">
        <v>19</v>
      </c>
      <c r="B8" s="119">
        <f>_xlfn.COMPOUNDVALUE(337)</f>
        <v>1328</v>
      </c>
      <c r="C8" s="120">
        <v>14204761</v>
      </c>
      <c r="D8" s="119">
        <f>_xlfn.COMPOUNDVALUE(338)</f>
        <v>428</v>
      </c>
      <c r="E8" s="120">
        <v>259662</v>
      </c>
      <c r="F8" s="119">
        <f>_xlfn.COMPOUNDVALUE(339)</f>
        <v>1756</v>
      </c>
      <c r="G8" s="120">
        <v>14464424</v>
      </c>
      <c r="H8" s="119">
        <f>_xlfn.COMPOUNDVALUE(340)</f>
        <v>118</v>
      </c>
      <c r="I8" s="121">
        <v>2858466</v>
      </c>
      <c r="J8" s="119">
        <v>132</v>
      </c>
      <c r="K8" s="121">
        <v>10627</v>
      </c>
      <c r="L8" s="119">
        <v>1882</v>
      </c>
      <c r="M8" s="121">
        <v>11616585</v>
      </c>
      <c r="N8" s="14" t="s">
        <v>19</v>
      </c>
    </row>
    <row r="9" spans="1:14" ht="15.75" customHeight="1">
      <c r="A9" s="13" t="s">
        <v>20</v>
      </c>
      <c r="B9" s="119">
        <f>_xlfn.COMPOUNDVALUE(341)</f>
        <v>1409</v>
      </c>
      <c r="C9" s="120">
        <v>9170079</v>
      </c>
      <c r="D9" s="119">
        <f>_xlfn.COMPOUNDVALUE(342)</f>
        <v>487</v>
      </c>
      <c r="E9" s="120">
        <v>293458</v>
      </c>
      <c r="F9" s="119">
        <f>_xlfn.COMPOUNDVALUE(343)</f>
        <v>1896</v>
      </c>
      <c r="G9" s="120">
        <v>9463537</v>
      </c>
      <c r="H9" s="119">
        <f>_xlfn.COMPOUNDVALUE(344)</f>
        <v>77</v>
      </c>
      <c r="I9" s="121">
        <v>324902</v>
      </c>
      <c r="J9" s="119">
        <v>81</v>
      </c>
      <c r="K9" s="121">
        <v>1045</v>
      </c>
      <c r="L9" s="119">
        <v>1982</v>
      </c>
      <c r="M9" s="121">
        <v>9139680</v>
      </c>
      <c r="N9" s="14" t="s">
        <v>20</v>
      </c>
    </row>
    <row r="10" spans="1:14" ht="15.75" customHeight="1">
      <c r="A10" s="13" t="s">
        <v>21</v>
      </c>
      <c r="B10" s="119">
        <f>_xlfn.COMPOUNDVALUE(345)</f>
        <v>1694</v>
      </c>
      <c r="C10" s="120">
        <v>10193739</v>
      </c>
      <c r="D10" s="119">
        <f>_xlfn.COMPOUNDVALUE(346)</f>
        <v>535</v>
      </c>
      <c r="E10" s="120">
        <v>326817</v>
      </c>
      <c r="F10" s="119">
        <f>_xlfn.COMPOUNDVALUE(347)</f>
        <v>2229</v>
      </c>
      <c r="G10" s="120">
        <v>10520556</v>
      </c>
      <c r="H10" s="119">
        <f>_xlfn.COMPOUNDVALUE(348)</f>
        <v>240</v>
      </c>
      <c r="I10" s="121">
        <v>1554124</v>
      </c>
      <c r="J10" s="119">
        <v>132</v>
      </c>
      <c r="K10" s="121">
        <v>20017</v>
      </c>
      <c r="L10" s="119">
        <v>2485</v>
      </c>
      <c r="M10" s="121">
        <v>8986449</v>
      </c>
      <c r="N10" s="14" t="s">
        <v>21</v>
      </c>
    </row>
    <row r="11" spans="1:14" ht="15.75" customHeight="1">
      <c r="A11" s="13" t="s">
        <v>22</v>
      </c>
      <c r="B11" s="119">
        <f>_xlfn.COMPOUNDVALUE(349)</f>
        <v>2392</v>
      </c>
      <c r="C11" s="120">
        <v>17184019</v>
      </c>
      <c r="D11" s="119">
        <f>_xlfn.COMPOUNDVALUE(350)</f>
        <v>881</v>
      </c>
      <c r="E11" s="120">
        <v>568905</v>
      </c>
      <c r="F11" s="119">
        <f>_xlfn.COMPOUNDVALUE(351)</f>
        <v>3273</v>
      </c>
      <c r="G11" s="120">
        <v>17752924</v>
      </c>
      <c r="H11" s="119">
        <f>_xlfn.COMPOUNDVALUE(352)</f>
        <v>200</v>
      </c>
      <c r="I11" s="121">
        <v>2016979</v>
      </c>
      <c r="J11" s="119">
        <v>205</v>
      </c>
      <c r="K11" s="121">
        <v>22454</v>
      </c>
      <c r="L11" s="119">
        <v>3492</v>
      </c>
      <c r="M11" s="121">
        <v>15758398</v>
      </c>
      <c r="N11" s="14" t="s">
        <v>22</v>
      </c>
    </row>
    <row r="12" spans="1:14" ht="15.75" customHeight="1">
      <c r="A12" s="13" t="s">
        <v>23</v>
      </c>
      <c r="B12" s="119">
        <f>_xlfn.COMPOUNDVALUE(353)</f>
        <v>1206</v>
      </c>
      <c r="C12" s="120">
        <v>11364723</v>
      </c>
      <c r="D12" s="119">
        <f>_xlfn.COMPOUNDVALUE(354)</f>
        <v>321</v>
      </c>
      <c r="E12" s="120">
        <v>195347</v>
      </c>
      <c r="F12" s="119">
        <f>_xlfn.COMPOUNDVALUE(355)</f>
        <v>1527</v>
      </c>
      <c r="G12" s="120">
        <v>11560070</v>
      </c>
      <c r="H12" s="119">
        <f>_xlfn.COMPOUNDVALUE(356)</f>
        <v>92</v>
      </c>
      <c r="I12" s="121">
        <v>331674</v>
      </c>
      <c r="J12" s="119">
        <v>84</v>
      </c>
      <c r="K12" s="121">
        <v>24632</v>
      </c>
      <c r="L12" s="119">
        <v>1629</v>
      </c>
      <c r="M12" s="121">
        <v>11253028</v>
      </c>
      <c r="N12" s="14" t="s">
        <v>23</v>
      </c>
    </row>
    <row r="13" spans="1:14" ht="15.75" customHeight="1">
      <c r="A13" s="13" t="s">
        <v>24</v>
      </c>
      <c r="B13" s="119">
        <f>_xlfn.COMPOUNDVALUE(357)</f>
        <v>526</v>
      </c>
      <c r="C13" s="120">
        <v>2498325</v>
      </c>
      <c r="D13" s="119">
        <f>_xlfn.COMPOUNDVALUE(358)</f>
        <v>163</v>
      </c>
      <c r="E13" s="120">
        <v>79600</v>
      </c>
      <c r="F13" s="119">
        <f>_xlfn.COMPOUNDVALUE(359)</f>
        <v>689</v>
      </c>
      <c r="G13" s="120">
        <v>2577925</v>
      </c>
      <c r="H13" s="119">
        <f>_xlfn.COMPOUNDVALUE(360)</f>
        <v>30</v>
      </c>
      <c r="I13" s="121">
        <v>456827</v>
      </c>
      <c r="J13" s="119">
        <v>43</v>
      </c>
      <c r="K13" s="121">
        <v>4041</v>
      </c>
      <c r="L13" s="119">
        <v>724</v>
      </c>
      <c r="M13" s="121">
        <v>2125139</v>
      </c>
      <c r="N13" s="14" t="s">
        <v>24</v>
      </c>
    </row>
    <row r="14" spans="1:14" ht="15.75" customHeight="1">
      <c r="A14" s="15" t="s">
        <v>109</v>
      </c>
      <c r="B14" s="124">
        <v>10880</v>
      </c>
      <c r="C14" s="125">
        <v>79718403</v>
      </c>
      <c r="D14" s="124">
        <v>3650</v>
      </c>
      <c r="E14" s="125">
        <v>2246336</v>
      </c>
      <c r="F14" s="124">
        <v>14530</v>
      </c>
      <c r="G14" s="125">
        <v>81964740</v>
      </c>
      <c r="H14" s="124">
        <v>954</v>
      </c>
      <c r="I14" s="126">
        <v>13946339</v>
      </c>
      <c r="J14" s="124">
        <v>885</v>
      </c>
      <c r="K14" s="126">
        <v>62006</v>
      </c>
      <c r="L14" s="124">
        <v>15574</v>
      </c>
      <c r="M14" s="126">
        <v>68080407</v>
      </c>
      <c r="N14" s="16" t="s">
        <v>120</v>
      </c>
    </row>
    <row r="15" spans="1:14" ht="15.75" customHeight="1">
      <c r="A15" s="26"/>
      <c r="B15" s="129"/>
      <c r="C15" s="130"/>
      <c r="D15" s="129"/>
      <c r="E15" s="130"/>
      <c r="F15" s="131"/>
      <c r="G15" s="130"/>
      <c r="H15" s="131"/>
      <c r="I15" s="130"/>
      <c r="J15" s="131"/>
      <c r="K15" s="130"/>
      <c r="L15" s="131"/>
      <c r="M15" s="130"/>
      <c r="N15" s="24"/>
    </row>
    <row r="16" spans="1:14" ht="15.75" customHeight="1">
      <c r="A16" s="11" t="s">
        <v>26</v>
      </c>
      <c r="B16" s="114">
        <f>_xlfn.COMPOUNDVALUE(361)</f>
        <v>2246</v>
      </c>
      <c r="C16" s="115">
        <v>16503225</v>
      </c>
      <c r="D16" s="114">
        <f>_xlfn.COMPOUNDVALUE(362)</f>
        <v>1039</v>
      </c>
      <c r="E16" s="115">
        <v>547394</v>
      </c>
      <c r="F16" s="114">
        <f>_xlfn.COMPOUNDVALUE(363)</f>
        <v>3285</v>
      </c>
      <c r="G16" s="115">
        <v>17050619</v>
      </c>
      <c r="H16" s="114">
        <f>_xlfn.COMPOUNDVALUE(364)</f>
        <v>245</v>
      </c>
      <c r="I16" s="116">
        <v>10875197</v>
      </c>
      <c r="J16" s="114">
        <v>172</v>
      </c>
      <c r="K16" s="116">
        <v>-40755</v>
      </c>
      <c r="L16" s="114">
        <v>3547</v>
      </c>
      <c r="M16" s="116">
        <v>6134666</v>
      </c>
      <c r="N16" s="25" t="s">
        <v>26</v>
      </c>
    </row>
    <row r="17" spans="1:14" ht="15.75" customHeight="1">
      <c r="A17" s="11" t="s">
        <v>27</v>
      </c>
      <c r="B17" s="114">
        <f>_xlfn.COMPOUNDVALUE(365)</f>
        <v>1618</v>
      </c>
      <c r="C17" s="115">
        <v>8257460</v>
      </c>
      <c r="D17" s="114">
        <f>_xlfn.COMPOUNDVALUE(366)</f>
        <v>636</v>
      </c>
      <c r="E17" s="115">
        <v>360981</v>
      </c>
      <c r="F17" s="114">
        <f>_xlfn.COMPOUNDVALUE(367)</f>
        <v>2254</v>
      </c>
      <c r="G17" s="115">
        <v>8618441</v>
      </c>
      <c r="H17" s="114">
        <f>_xlfn.COMPOUNDVALUE(368)</f>
        <v>193</v>
      </c>
      <c r="I17" s="116">
        <v>1347301</v>
      </c>
      <c r="J17" s="114">
        <v>128</v>
      </c>
      <c r="K17" s="116">
        <v>21915</v>
      </c>
      <c r="L17" s="114">
        <v>2461</v>
      </c>
      <c r="M17" s="116">
        <v>7293055</v>
      </c>
      <c r="N17" s="12" t="s">
        <v>27</v>
      </c>
    </row>
    <row r="18" spans="1:14" ht="15.75" customHeight="1">
      <c r="A18" s="11" t="s">
        <v>28</v>
      </c>
      <c r="B18" s="114">
        <f>_xlfn.COMPOUNDVALUE(369)</f>
        <v>2950</v>
      </c>
      <c r="C18" s="115">
        <v>28269259</v>
      </c>
      <c r="D18" s="114">
        <f>_xlfn.COMPOUNDVALUE(370)</f>
        <v>997</v>
      </c>
      <c r="E18" s="115">
        <v>615148</v>
      </c>
      <c r="F18" s="114">
        <f>_xlfn.COMPOUNDVALUE(371)</f>
        <v>3947</v>
      </c>
      <c r="G18" s="115">
        <v>28884408</v>
      </c>
      <c r="H18" s="114">
        <f>_xlfn.COMPOUNDVALUE(372)</f>
        <v>325</v>
      </c>
      <c r="I18" s="116">
        <v>10950913</v>
      </c>
      <c r="J18" s="114">
        <v>223</v>
      </c>
      <c r="K18" s="116">
        <v>56584</v>
      </c>
      <c r="L18" s="114">
        <v>4293</v>
      </c>
      <c r="M18" s="116">
        <v>17990078</v>
      </c>
      <c r="N18" s="12" t="s">
        <v>28</v>
      </c>
    </row>
    <row r="19" spans="1:14" ht="15.75" customHeight="1">
      <c r="A19" s="11" t="s">
        <v>29</v>
      </c>
      <c r="B19" s="114">
        <f>_xlfn.COMPOUNDVALUE(373)</f>
        <v>2040</v>
      </c>
      <c r="C19" s="115">
        <v>12771682</v>
      </c>
      <c r="D19" s="114">
        <f>_xlfn.COMPOUNDVALUE(374)</f>
        <v>738</v>
      </c>
      <c r="E19" s="115">
        <v>418274</v>
      </c>
      <c r="F19" s="114">
        <f>_xlfn.COMPOUNDVALUE(375)</f>
        <v>2778</v>
      </c>
      <c r="G19" s="115">
        <v>13189956</v>
      </c>
      <c r="H19" s="114">
        <f>_xlfn.COMPOUNDVALUE(376)</f>
        <v>181</v>
      </c>
      <c r="I19" s="116">
        <v>482668</v>
      </c>
      <c r="J19" s="114">
        <v>146</v>
      </c>
      <c r="K19" s="116">
        <v>18410</v>
      </c>
      <c r="L19" s="114">
        <v>2969</v>
      </c>
      <c r="M19" s="116">
        <v>12725698</v>
      </c>
      <c r="N19" s="12" t="s">
        <v>29</v>
      </c>
    </row>
    <row r="20" spans="1:14" ht="15.75" customHeight="1">
      <c r="A20" s="11" t="s">
        <v>30</v>
      </c>
      <c r="B20" s="114">
        <f>_xlfn.COMPOUNDVALUE(377)</f>
        <v>4627</v>
      </c>
      <c r="C20" s="115">
        <v>78379267</v>
      </c>
      <c r="D20" s="114">
        <f>_xlfn.COMPOUNDVALUE(378)</f>
        <v>1212</v>
      </c>
      <c r="E20" s="115">
        <v>785767</v>
      </c>
      <c r="F20" s="114">
        <f>_xlfn.COMPOUNDVALUE(379)</f>
        <v>5839</v>
      </c>
      <c r="G20" s="115">
        <v>79165034</v>
      </c>
      <c r="H20" s="114">
        <f>_xlfn.COMPOUNDVALUE(380)</f>
        <v>501</v>
      </c>
      <c r="I20" s="116">
        <v>13933018</v>
      </c>
      <c r="J20" s="114">
        <v>433</v>
      </c>
      <c r="K20" s="116">
        <v>205758</v>
      </c>
      <c r="L20" s="114">
        <v>6383</v>
      </c>
      <c r="M20" s="116">
        <v>65437775</v>
      </c>
      <c r="N20" s="12" t="s">
        <v>30</v>
      </c>
    </row>
    <row r="21" spans="1:14" ht="15.75" customHeight="1">
      <c r="A21" s="11" t="s">
        <v>31</v>
      </c>
      <c r="B21" s="114">
        <f>_xlfn.COMPOUNDVALUE(381)</f>
        <v>3840</v>
      </c>
      <c r="C21" s="115">
        <v>23316818</v>
      </c>
      <c r="D21" s="114">
        <f>_xlfn.COMPOUNDVALUE(382)</f>
        <v>1313</v>
      </c>
      <c r="E21" s="115">
        <v>750637</v>
      </c>
      <c r="F21" s="114">
        <f>_xlfn.COMPOUNDVALUE(383)</f>
        <v>5153</v>
      </c>
      <c r="G21" s="115">
        <v>24067455</v>
      </c>
      <c r="H21" s="114">
        <f>_xlfn.COMPOUNDVALUE(384)</f>
        <v>328</v>
      </c>
      <c r="I21" s="116">
        <v>59337383</v>
      </c>
      <c r="J21" s="114">
        <v>332</v>
      </c>
      <c r="K21" s="116">
        <v>83446</v>
      </c>
      <c r="L21" s="114">
        <v>5528</v>
      </c>
      <c r="M21" s="116">
        <v>-35186482</v>
      </c>
      <c r="N21" s="12" t="s">
        <v>31</v>
      </c>
    </row>
    <row r="22" spans="1:14" ht="15.75" customHeight="1">
      <c r="A22" s="13" t="s">
        <v>32</v>
      </c>
      <c r="B22" s="119">
        <f>_xlfn.COMPOUNDVALUE(385)</f>
        <v>2591</v>
      </c>
      <c r="C22" s="120">
        <v>22577943</v>
      </c>
      <c r="D22" s="119">
        <f>_xlfn.COMPOUNDVALUE(386)</f>
        <v>775</v>
      </c>
      <c r="E22" s="120">
        <v>501331</v>
      </c>
      <c r="F22" s="119">
        <f>_xlfn.COMPOUNDVALUE(387)</f>
        <v>3366</v>
      </c>
      <c r="G22" s="120">
        <v>23079274</v>
      </c>
      <c r="H22" s="119">
        <f>_xlfn.COMPOUNDVALUE(388)</f>
        <v>238</v>
      </c>
      <c r="I22" s="121">
        <v>11283870</v>
      </c>
      <c r="J22" s="119">
        <v>151</v>
      </c>
      <c r="K22" s="121">
        <v>-8186</v>
      </c>
      <c r="L22" s="119">
        <v>3611</v>
      </c>
      <c r="M22" s="121">
        <v>11787217</v>
      </c>
      <c r="N22" s="14" t="s">
        <v>32</v>
      </c>
    </row>
    <row r="23" spans="1:14" ht="15.75" customHeight="1">
      <c r="A23" s="13" t="s">
        <v>33</v>
      </c>
      <c r="B23" s="119">
        <f>_xlfn.COMPOUNDVALUE(389)</f>
        <v>969</v>
      </c>
      <c r="C23" s="120">
        <v>7538708</v>
      </c>
      <c r="D23" s="119">
        <f>_xlfn.COMPOUNDVALUE(390)</f>
        <v>362</v>
      </c>
      <c r="E23" s="120">
        <v>196185</v>
      </c>
      <c r="F23" s="119">
        <f>_xlfn.COMPOUNDVALUE(391)</f>
        <v>1331</v>
      </c>
      <c r="G23" s="120">
        <v>7734893</v>
      </c>
      <c r="H23" s="119">
        <f>_xlfn.COMPOUNDVALUE(392)</f>
        <v>48</v>
      </c>
      <c r="I23" s="121">
        <v>278923</v>
      </c>
      <c r="J23" s="119">
        <v>105</v>
      </c>
      <c r="K23" s="121">
        <v>9860</v>
      </c>
      <c r="L23" s="119">
        <v>1383</v>
      </c>
      <c r="M23" s="121">
        <v>7465830</v>
      </c>
      <c r="N23" s="14" t="s">
        <v>33</v>
      </c>
    </row>
    <row r="24" spans="1:14" ht="15.75" customHeight="1">
      <c r="A24" s="13" t="s">
        <v>34</v>
      </c>
      <c r="B24" s="119">
        <f>_xlfn.COMPOUNDVALUE(393)</f>
        <v>802</v>
      </c>
      <c r="C24" s="120">
        <v>3226169</v>
      </c>
      <c r="D24" s="119">
        <f>_xlfn.COMPOUNDVALUE(394)</f>
        <v>253</v>
      </c>
      <c r="E24" s="120">
        <v>142106</v>
      </c>
      <c r="F24" s="119">
        <f>_xlfn.COMPOUNDVALUE(395)</f>
        <v>1055</v>
      </c>
      <c r="G24" s="120">
        <v>3368275</v>
      </c>
      <c r="H24" s="119">
        <f>_xlfn.COMPOUNDVALUE(396)</f>
        <v>51</v>
      </c>
      <c r="I24" s="121">
        <v>130166</v>
      </c>
      <c r="J24" s="119">
        <v>94</v>
      </c>
      <c r="K24" s="121">
        <v>14256</v>
      </c>
      <c r="L24" s="119">
        <v>1127</v>
      </c>
      <c r="M24" s="121">
        <v>3252364</v>
      </c>
      <c r="N24" s="14" t="s">
        <v>34</v>
      </c>
    </row>
    <row r="25" spans="1:14" ht="15.75" customHeight="1">
      <c r="A25" s="13" t="s">
        <v>35</v>
      </c>
      <c r="B25" s="119">
        <f>_xlfn.COMPOUNDVALUE(397)</f>
        <v>4233</v>
      </c>
      <c r="C25" s="120">
        <v>26269935</v>
      </c>
      <c r="D25" s="119">
        <f>_xlfn.COMPOUNDVALUE(398)</f>
        <v>1205</v>
      </c>
      <c r="E25" s="120">
        <v>731158</v>
      </c>
      <c r="F25" s="119">
        <f>_xlfn.COMPOUNDVALUE(399)</f>
        <v>5438</v>
      </c>
      <c r="G25" s="120">
        <v>27001093</v>
      </c>
      <c r="H25" s="119">
        <f>_xlfn.COMPOUNDVALUE(400)</f>
        <v>421</v>
      </c>
      <c r="I25" s="121">
        <v>1343456</v>
      </c>
      <c r="J25" s="119">
        <v>383</v>
      </c>
      <c r="K25" s="121">
        <v>63041</v>
      </c>
      <c r="L25" s="119">
        <v>5886</v>
      </c>
      <c r="M25" s="121">
        <v>25720679</v>
      </c>
      <c r="N25" s="14" t="s">
        <v>35</v>
      </c>
    </row>
    <row r="26" spans="1:14" ht="15.75" customHeight="1">
      <c r="A26" s="13" t="s">
        <v>36</v>
      </c>
      <c r="B26" s="119">
        <f>_xlfn.COMPOUNDVALUE(401)</f>
        <v>374</v>
      </c>
      <c r="C26" s="120">
        <v>1718844</v>
      </c>
      <c r="D26" s="119">
        <f>_xlfn.COMPOUNDVALUE(402)</f>
        <v>133</v>
      </c>
      <c r="E26" s="120">
        <v>59681</v>
      </c>
      <c r="F26" s="119">
        <f>_xlfn.COMPOUNDVALUE(403)</f>
        <v>507</v>
      </c>
      <c r="G26" s="120">
        <v>1778525</v>
      </c>
      <c r="H26" s="119">
        <f>_xlfn.COMPOUNDVALUE(404)</f>
        <v>17</v>
      </c>
      <c r="I26" s="121">
        <v>197797</v>
      </c>
      <c r="J26" s="119">
        <v>36</v>
      </c>
      <c r="K26" s="121">
        <v>-23501</v>
      </c>
      <c r="L26" s="119">
        <v>526</v>
      </c>
      <c r="M26" s="121">
        <v>1557227</v>
      </c>
      <c r="N26" s="14" t="s">
        <v>36</v>
      </c>
    </row>
    <row r="27" spans="1:14" ht="15.75" customHeight="1">
      <c r="A27" s="13" t="s">
        <v>37</v>
      </c>
      <c r="B27" s="119">
        <f>_xlfn.COMPOUNDVALUE(405)</f>
        <v>1101</v>
      </c>
      <c r="C27" s="120">
        <v>4511115</v>
      </c>
      <c r="D27" s="119">
        <f>_xlfn.COMPOUNDVALUE(406)</f>
        <v>297</v>
      </c>
      <c r="E27" s="120">
        <v>166706</v>
      </c>
      <c r="F27" s="119">
        <f>_xlfn.COMPOUNDVALUE(407)</f>
        <v>1398</v>
      </c>
      <c r="G27" s="120">
        <v>4677820</v>
      </c>
      <c r="H27" s="119">
        <f>_xlfn.COMPOUNDVALUE(408)</f>
        <v>72</v>
      </c>
      <c r="I27" s="121">
        <v>397120</v>
      </c>
      <c r="J27" s="119">
        <v>75</v>
      </c>
      <c r="K27" s="121">
        <v>9104</v>
      </c>
      <c r="L27" s="119">
        <v>1478</v>
      </c>
      <c r="M27" s="121">
        <v>4289804</v>
      </c>
      <c r="N27" s="14" t="s">
        <v>37</v>
      </c>
    </row>
    <row r="28" spans="1:14" ht="15.75" customHeight="1">
      <c r="A28" s="13" t="s">
        <v>38</v>
      </c>
      <c r="B28" s="119">
        <f>_xlfn.COMPOUNDVALUE(409)</f>
        <v>475</v>
      </c>
      <c r="C28" s="120">
        <v>2189205</v>
      </c>
      <c r="D28" s="119">
        <f>_xlfn.COMPOUNDVALUE(410)</f>
        <v>131</v>
      </c>
      <c r="E28" s="120">
        <v>77845</v>
      </c>
      <c r="F28" s="119">
        <f>_xlfn.COMPOUNDVALUE(411)</f>
        <v>606</v>
      </c>
      <c r="G28" s="120">
        <v>2267050</v>
      </c>
      <c r="H28" s="119">
        <f>_xlfn.COMPOUNDVALUE(412)</f>
        <v>27</v>
      </c>
      <c r="I28" s="121">
        <v>371920</v>
      </c>
      <c r="J28" s="119">
        <v>115</v>
      </c>
      <c r="K28" s="121">
        <v>3539</v>
      </c>
      <c r="L28" s="119">
        <v>646</v>
      </c>
      <c r="M28" s="121">
        <v>1898669</v>
      </c>
      <c r="N28" s="14" t="s">
        <v>38</v>
      </c>
    </row>
    <row r="29" spans="1:14" ht="15.75" customHeight="1">
      <c r="A29" s="15" t="s">
        <v>161</v>
      </c>
      <c r="B29" s="124">
        <v>27866</v>
      </c>
      <c r="C29" s="125">
        <v>235529631</v>
      </c>
      <c r="D29" s="124">
        <v>9091</v>
      </c>
      <c r="E29" s="125">
        <v>5353212</v>
      </c>
      <c r="F29" s="124">
        <v>36957</v>
      </c>
      <c r="G29" s="125">
        <v>240882843</v>
      </c>
      <c r="H29" s="124">
        <v>2647</v>
      </c>
      <c r="I29" s="126">
        <v>110929733</v>
      </c>
      <c r="J29" s="124">
        <v>2393</v>
      </c>
      <c r="K29" s="126">
        <v>413471</v>
      </c>
      <c r="L29" s="124">
        <v>39838</v>
      </c>
      <c r="M29" s="126">
        <v>130366580</v>
      </c>
      <c r="N29" s="16" t="s">
        <v>121</v>
      </c>
    </row>
    <row r="30" spans="1:14" ht="15.75" customHeight="1">
      <c r="A30" s="23"/>
      <c r="B30" s="129"/>
      <c r="C30" s="130"/>
      <c r="D30" s="129"/>
      <c r="E30" s="130"/>
      <c r="F30" s="131"/>
      <c r="G30" s="130"/>
      <c r="H30" s="131"/>
      <c r="I30" s="130"/>
      <c r="J30" s="131"/>
      <c r="K30" s="130"/>
      <c r="L30" s="131"/>
      <c r="M30" s="130"/>
      <c r="N30" s="24"/>
    </row>
    <row r="31" spans="1:14" ht="15.75" customHeight="1">
      <c r="A31" s="11" t="s">
        <v>40</v>
      </c>
      <c r="B31" s="114">
        <f>_xlfn.COMPOUNDVALUE(413)</f>
        <v>2681</v>
      </c>
      <c r="C31" s="115">
        <v>36697883</v>
      </c>
      <c r="D31" s="114">
        <f>_xlfn.COMPOUNDVALUE(414)</f>
        <v>643</v>
      </c>
      <c r="E31" s="115">
        <v>509615</v>
      </c>
      <c r="F31" s="114">
        <f>_xlfn.COMPOUNDVALUE(415)</f>
        <v>3324</v>
      </c>
      <c r="G31" s="115">
        <v>37207498</v>
      </c>
      <c r="H31" s="114">
        <f>_xlfn.COMPOUNDVALUE(416)</f>
        <v>441</v>
      </c>
      <c r="I31" s="116">
        <v>2455174</v>
      </c>
      <c r="J31" s="114">
        <v>276</v>
      </c>
      <c r="K31" s="116">
        <v>111026</v>
      </c>
      <c r="L31" s="114">
        <v>3783</v>
      </c>
      <c r="M31" s="116">
        <v>34863350</v>
      </c>
      <c r="N31" s="25" t="s">
        <v>40</v>
      </c>
    </row>
    <row r="32" spans="1:14" ht="15.75" customHeight="1">
      <c r="A32" s="11" t="s">
        <v>41</v>
      </c>
      <c r="B32" s="114">
        <f>_xlfn.COMPOUNDVALUE(417)</f>
        <v>5623</v>
      </c>
      <c r="C32" s="115">
        <v>104004720</v>
      </c>
      <c r="D32" s="114">
        <f>_xlfn.COMPOUNDVALUE(418)</f>
        <v>1208</v>
      </c>
      <c r="E32" s="115">
        <v>874796</v>
      </c>
      <c r="F32" s="114">
        <f>_xlfn.COMPOUNDVALUE(419)</f>
        <v>6831</v>
      </c>
      <c r="G32" s="115">
        <v>104879515</v>
      </c>
      <c r="H32" s="114">
        <f>_xlfn.COMPOUNDVALUE(420)</f>
        <v>1150</v>
      </c>
      <c r="I32" s="116">
        <v>28081012</v>
      </c>
      <c r="J32" s="114">
        <v>476</v>
      </c>
      <c r="K32" s="116">
        <v>524348</v>
      </c>
      <c r="L32" s="114">
        <v>8043</v>
      </c>
      <c r="M32" s="116">
        <v>77322851</v>
      </c>
      <c r="N32" s="12" t="s">
        <v>41</v>
      </c>
    </row>
    <row r="33" spans="1:14" ht="15.75" customHeight="1">
      <c r="A33" s="11" t="s">
        <v>42</v>
      </c>
      <c r="B33" s="114">
        <f>_xlfn.COMPOUNDVALUE(421)</f>
        <v>2208</v>
      </c>
      <c r="C33" s="115">
        <v>21223936</v>
      </c>
      <c r="D33" s="114">
        <f>_xlfn.COMPOUNDVALUE(422)</f>
        <v>571</v>
      </c>
      <c r="E33" s="115">
        <v>335096</v>
      </c>
      <c r="F33" s="114">
        <f>_xlfn.COMPOUNDVALUE(423)</f>
        <v>2779</v>
      </c>
      <c r="G33" s="115">
        <v>21559032</v>
      </c>
      <c r="H33" s="114">
        <f>_xlfn.COMPOUNDVALUE(424)</f>
        <v>222</v>
      </c>
      <c r="I33" s="116">
        <v>1290876</v>
      </c>
      <c r="J33" s="114">
        <v>164</v>
      </c>
      <c r="K33" s="116">
        <v>66532</v>
      </c>
      <c r="L33" s="114">
        <v>3027</v>
      </c>
      <c r="M33" s="116">
        <v>20334688</v>
      </c>
      <c r="N33" s="12" t="s">
        <v>42</v>
      </c>
    </row>
    <row r="34" spans="1:14" ht="15.75" customHeight="1">
      <c r="A34" s="11" t="s">
        <v>43</v>
      </c>
      <c r="B34" s="114">
        <f>_xlfn.COMPOUNDVALUE(425)</f>
        <v>2011</v>
      </c>
      <c r="C34" s="115">
        <v>26929814</v>
      </c>
      <c r="D34" s="114">
        <f>_xlfn.COMPOUNDVALUE(426)</f>
        <v>603</v>
      </c>
      <c r="E34" s="115">
        <v>392634</v>
      </c>
      <c r="F34" s="114">
        <f>_xlfn.COMPOUNDVALUE(427)</f>
        <v>2614</v>
      </c>
      <c r="G34" s="115">
        <v>27322449</v>
      </c>
      <c r="H34" s="114">
        <f>_xlfn.COMPOUNDVALUE(428)</f>
        <v>315</v>
      </c>
      <c r="I34" s="116">
        <v>1297446</v>
      </c>
      <c r="J34" s="114">
        <v>183</v>
      </c>
      <c r="K34" s="116">
        <v>130369</v>
      </c>
      <c r="L34" s="114">
        <v>2949</v>
      </c>
      <c r="M34" s="116">
        <v>26155372</v>
      </c>
      <c r="N34" s="12" t="s">
        <v>43</v>
      </c>
    </row>
    <row r="35" spans="1:14" ht="15.75" customHeight="1">
      <c r="A35" s="11" t="s">
        <v>44</v>
      </c>
      <c r="B35" s="114">
        <f>_xlfn.COMPOUNDVALUE(429)</f>
        <v>2281</v>
      </c>
      <c r="C35" s="115">
        <v>27927073</v>
      </c>
      <c r="D35" s="114">
        <f>_xlfn.COMPOUNDVALUE(430)</f>
        <v>512</v>
      </c>
      <c r="E35" s="115">
        <v>352608</v>
      </c>
      <c r="F35" s="114">
        <f>_xlfn.COMPOUNDVALUE(431)</f>
        <v>2793</v>
      </c>
      <c r="G35" s="115">
        <v>28279680</v>
      </c>
      <c r="H35" s="114">
        <f>_xlfn.COMPOUNDVALUE(432)</f>
        <v>509</v>
      </c>
      <c r="I35" s="116">
        <v>21640601</v>
      </c>
      <c r="J35" s="114">
        <v>281</v>
      </c>
      <c r="K35" s="116">
        <v>116170</v>
      </c>
      <c r="L35" s="114">
        <v>3326</v>
      </c>
      <c r="M35" s="116">
        <v>6755250</v>
      </c>
      <c r="N35" s="12" t="s">
        <v>44</v>
      </c>
    </row>
    <row r="36" spans="1:14" ht="15.75" customHeight="1">
      <c r="A36" s="11" t="s">
        <v>45</v>
      </c>
      <c r="B36" s="114">
        <f>_xlfn.COMPOUNDVALUE(433)</f>
        <v>1456</v>
      </c>
      <c r="C36" s="115">
        <v>18488910</v>
      </c>
      <c r="D36" s="114">
        <f>_xlfn.COMPOUNDVALUE(434)</f>
        <v>371</v>
      </c>
      <c r="E36" s="115">
        <v>224899</v>
      </c>
      <c r="F36" s="114">
        <f>_xlfn.COMPOUNDVALUE(435)</f>
        <v>1827</v>
      </c>
      <c r="G36" s="115">
        <v>18713810</v>
      </c>
      <c r="H36" s="114">
        <f>_xlfn.COMPOUNDVALUE(436)</f>
        <v>182</v>
      </c>
      <c r="I36" s="116">
        <v>3826384</v>
      </c>
      <c r="J36" s="114">
        <v>93</v>
      </c>
      <c r="K36" s="116">
        <v>10892</v>
      </c>
      <c r="L36" s="114">
        <v>2023</v>
      </c>
      <c r="M36" s="116">
        <v>14898318</v>
      </c>
      <c r="N36" s="12" t="s">
        <v>45</v>
      </c>
    </row>
    <row r="37" spans="1:14" ht="15.75" customHeight="1">
      <c r="A37" s="11" t="s">
        <v>46</v>
      </c>
      <c r="B37" s="114">
        <f>_xlfn.COMPOUNDVALUE(437)</f>
        <v>1556</v>
      </c>
      <c r="C37" s="115">
        <v>14927338</v>
      </c>
      <c r="D37" s="114">
        <f>_xlfn.COMPOUNDVALUE(438)</f>
        <v>534</v>
      </c>
      <c r="E37" s="115">
        <v>297577</v>
      </c>
      <c r="F37" s="114">
        <f>_xlfn.COMPOUNDVALUE(439)</f>
        <v>2090</v>
      </c>
      <c r="G37" s="115">
        <v>15224916</v>
      </c>
      <c r="H37" s="114">
        <f>_xlfn.COMPOUNDVALUE(440)</f>
        <v>184</v>
      </c>
      <c r="I37" s="116">
        <v>803967</v>
      </c>
      <c r="J37" s="114">
        <v>159</v>
      </c>
      <c r="K37" s="116">
        <v>3533</v>
      </c>
      <c r="L37" s="114">
        <v>2288</v>
      </c>
      <c r="M37" s="116">
        <v>14424481</v>
      </c>
      <c r="N37" s="12" t="s">
        <v>46</v>
      </c>
    </row>
    <row r="38" spans="1:14" ht="15.75" customHeight="1">
      <c r="A38" s="11" t="s">
        <v>47</v>
      </c>
      <c r="B38" s="114">
        <f>_xlfn.COMPOUNDVALUE(441)</f>
        <v>1756</v>
      </c>
      <c r="C38" s="115">
        <v>13513378</v>
      </c>
      <c r="D38" s="114">
        <f>_xlfn.COMPOUNDVALUE(442)</f>
        <v>602</v>
      </c>
      <c r="E38" s="115">
        <v>331288</v>
      </c>
      <c r="F38" s="114">
        <f>_xlfn.COMPOUNDVALUE(443)</f>
        <v>2358</v>
      </c>
      <c r="G38" s="115">
        <v>13844666</v>
      </c>
      <c r="H38" s="114">
        <f>_xlfn.COMPOUNDVALUE(444)</f>
        <v>243</v>
      </c>
      <c r="I38" s="116">
        <v>495276</v>
      </c>
      <c r="J38" s="114">
        <v>153</v>
      </c>
      <c r="K38" s="116">
        <v>85546</v>
      </c>
      <c r="L38" s="114">
        <v>2632</v>
      </c>
      <c r="M38" s="116">
        <v>13434937</v>
      </c>
      <c r="N38" s="12" t="s">
        <v>47</v>
      </c>
    </row>
    <row r="39" spans="1:14" ht="15.75" customHeight="1">
      <c r="A39" s="11" t="s">
        <v>48</v>
      </c>
      <c r="B39" s="114">
        <f>_xlfn.COMPOUNDVALUE(445)</f>
        <v>2284</v>
      </c>
      <c r="C39" s="115">
        <v>27820990</v>
      </c>
      <c r="D39" s="114">
        <f>_xlfn.COMPOUNDVALUE(446)</f>
        <v>729</v>
      </c>
      <c r="E39" s="115">
        <v>459052</v>
      </c>
      <c r="F39" s="114">
        <f>_xlfn.COMPOUNDVALUE(447)</f>
        <v>3013</v>
      </c>
      <c r="G39" s="115">
        <v>28280042</v>
      </c>
      <c r="H39" s="114">
        <f>_xlfn.COMPOUNDVALUE(448)</f>
        <v>246</v>
      </c>
      <c r="I39" s="116">
        <v>870512</v>
      </c>
      <c r="J39" s="114">
        <v>205</v>
      </c>
      <c r="K39" s="116">
        <v>116718</v>
      </c>
      <c r="L39" s="114">
        <v>3286</v>
      </c>
      <c r="M39" s="116">
        <v>27526247</v>
      </c>
      <c r="N39" s="12" t="s">
        <v>48</v>
      </c>
    </row>
    <row r="40" spans="1:14" ht="15.75" customHeight="1">
      <c r="A40" s="11" t="s">
        <v>49</v>
      </c>
      <c r="B40" s="114">
        <f>_xlfn.COMPOUNDVALUE(449)</f>
        <v>2681</v>
      </c>
      <c r="C40" s="115">
        <v>22163097</v>
      </c>
      <c r="D40" s="114">
        <f>_xlfn.COMPOUNDVALUE(450)</f>
        <v>898</v>
      </c>
      <c r="E40" s="115">
        <v>568504</v>
      </c>
      <c r="F40" s="114">
        <f>_xlfn.COMPOUNDVALUE(451)</f>
        <v>3579</v>
      </c>
      <c r="G40" s="115">
        <v>22731602</v>
      </c>
      <c r="H40" s="114">
        <f>_xlfn.COMPOUNDVALUE(452)</f>
        <v>253</v>
      </c>
      <c r="I40" s="116">
        <v>1681566</v>
      </c>
      <c r="J40" s="114">
        <v>253</v>
      </c>
      <c r="K40" s="116">
        <v>90957</v>
      </c>
      <c r="L40" s="114">
        <v>3865</v>
      </c>
      <c r="M40" s="116">
        <v>21140993</v>
      </c>
      <c r="N40" s="12" t="s">
        <v>49</v>
      </c>
    </row>
    <row r="41" spans="1:14" ht="15.75" customHeight="1">
      <c r="A41" s="11" t="s">
        <v>50</v>
      </c>
      <c r="B41" s="114">
        <f>_xlfn.COMPOUNDVALUE(453)</f>
        <v>1237</v>
      </c>
      <c r="C41" s="115">
        <v>9774500</v>
      </c>
      <c r="D41" s="114">
        <f>_xlfn.COMPOUNDVALUE(454)</f>
        <v>453</v>
      </c>
      <c r="E41" s="115">
        <v>362550</v>
      </c>
      <c r="F41" s="114">
        <f>_xlfn.COMPOUNDVALUE(455)</f>
        <v>1690</v>
      </c>
      <c r="G41" s="115">
        <v>10137050</v>
      </c>
      <c r="H41" s="114">
        <f>_xlfn.COMPOUNDVALUE(456)</f>
        <v>188</v>
      </c>
      <c r="I41" s="116">
        <v>1010238</v>
      </c>
      <c r="J41" s="114">
        <v>73</v>
      </c>
      <c r="K41" s="116">
        <v>5498</v>
      </c>
      <c r="L41" s="114">
        <v>1902</v>
      </c>
      <c r="M41" s="116">
        <v>9132310</v>
      </c>
      <c r="N41" s="12" t="s">
        <v>50</v>
      </c>
    </row>
    <row r="42" spans="1:14" ht="15.75" customHeight="1">
      <c r="A42" s="11" t="s">
        <v>51</v>
      </c>
      <c r="B42" s="114">
        <f>_xlfn.COMPOUNDVALUE(457)</f>
        <v>2715</v>
      </c>
      <c r="C42" s="115">
        <v>22882865</v>
      </c>
      <c r="D42" s="114">
        <f>_xlfn.COMPOUNDVALUE(458)</f>
        <v>796</v>
      </c>
      <c r="E42" s="115">
        <v>512359</v>
      </c>
      <c r="F42" s="114">
        <f>_xlfn.COMPOUNDVALUE(459)</f>
        <v>3511</v>
      </c>
      <c r="G42" s="115">
        <v>23395223</v>
      </c>
      <c r="H42" s="114">
        <f>_xlfn.COMPOUNDVALUE(460)</f>
        <v>394</v>
      </c>
      <c r="I42" s="116">
        <v>2482241</v>
      </c>
      <c r="J42" s="114">
        <v>257</v>
      </c>
      <c r="K42" s="116">
        <v>5975</v>
      </c>
      <c r="L42" s="114">
        <v>3956</v>
      </c>
      <c r="M42" s="116">
        <v>20918957</v>
      </c>
      <c r="N42" s="12" t="s">
        <v>51</v>
      </c>
    </row>
    <row r="43" spans="1:14" ht="15.75" customHeight="1">
      <c r="A43" s="11" t="s">
        <v>52</v>
      </c>
      <c r="B43" s="114">
        <f>_xlfn.COMPOUNDVALUE(461)</f>
        <v>4099</v>
      </c>
      <c r="C43" s="115">
        <v>20438476</v>
      </c>
      <c r="D43" s="114">
        <f>_xlfn.COMPOUNDVALUE(462)</f>
        <v>1260</v>
      </c>
      <c r="E43" s="115">
        <v>786848</v>
      </c>
      <c r="F43" s="114">
        <f>_xlfn.COMPOUNDVALUE(463)</f>
        <v>5359</v>
      </c>
      <c r="G43" s="115">
        <v>21225324</v>
      </c>
      <c r="H43" s="114">
        <f>_xlfn.COMPOUNDVALUE(464)</f>
        <v>420</v>
      </c>
      <c r="I43" s="116">
        <v>2004804</v>
      </c>
      <c r="J43" s="114">
        <v>339</v>
      </c>
      <c r="K43" s="116">
        <v>23761</v>
      </c>
      <c r="L43" s="114">
        <v>5817</v>
      </c>
      <c r="M43" s="116">
        <v>19244281</v>
      </c>
      <c r="N43" s="12" t="s">
        <v>52</v>
      </c>
    </row>
    <row r="44" spans="1:14" ht="15.75" customHeight="1">
      <c r="A44" s="11" t="s">
        <v>53</v>
      </c>
      <c r="B44" s="114">
        <f>_xlfn.COMPOUNDVALUE(465)</f>
        <v>1164</v>
      </c>
      <c r="C44" s="115">
        <v>9747398</v>
      </c>
      <c r="D44" s="114">
        <f>_xlfn.COMPOUNDVALUE(466)</f>
        <v>329</v>
      </c>
      <c r="E44" s="115">
        <v>190362</v>
      </c>
      <c r="F44" s="114">
        <f>_xlfn.COMPOUNDVALUE(467)</f>
        <v>1493</v>
      </c>
      <c r="G44" s="115">
        <v>9937759</v>
      </c>
      <c r="H44" s="114">
        <f>_xlfn.COMPOUNDVALUE(468)</f>
        <v>176</v>
      </c>
      <c r="I44" s="116">
        <v>559070</v>
      </c>
      <c r="J44" s="114">
        <v>113</v>
      </c>
      <c r="K44" s="116">
        <v>17278</v>
      </c>
      <c r="L44" s="114">
        <v>1674</v>
      </c>
      <c r="M44" s="116">
        <v>9395967</v>
      </c>
      <c r="N44" s="12" t="s">
        <v>53</v>
      </c>
    </row>
    <row r="45" spans="1:14" ht="15.75" customHeight="1">
      <c r="A45" s="11" t="s">
        <v>54</v>
      </c>
      <c r="B45" s="114">
        <f>_xlfn.COMPOUNDVALUE(469)</f>
        <v>5481</v>
      </c>
      <c r="C45" s="115">
        <v>79704378</v>
      </c>
      <c r="D45" s="114">
        <f>_xlfn.COMPOUNDVALUE(470)</f>
        <v>1570</v>
      </c>
      <c r="E45" s="115">
        <v>997139</v>
      </c>
      <c r="F45" s="114">
        <f>_xlfn.COMPOUNDVALUE(471)</f>
        <v>7051</v>
      </c>
      <c r="G45" s="115">
        <v>80701517</v>
      </c>
      <c r="H45" s="114">
        <f>_xlfn.COMPOUNDVALUE(472)</f>
        <v>762</v>
      </c>
      <c r="I45" s="116">
        <v>6942168</v>
      </c>
      <c r="J45" s="114">
        <v>522</v>
      </c>
      <c r="K45" s="116">
        <v>4690</v>
      </c>
      <c r="L45" s="114">
        <v>7859</v>
      </c>
      <c r="M45" s="116">
        <v>73764039</v>
      </c>
      <c r="N45" s="12" t="s">
        <v>54</v>
      </c>
    </row>
    <row r="46" spans="1:14" ht="15.75" customHeight="1">
      <c r="A46" s="11" t="s">
        <v>55</v>
      </c>
      <c r="B46" s="114">
        <f>_xlfn.COMPOUNDVALUE(473)</f>
        <v>5939</v>
      </c>
      <c r="C46" s="115">
        <v>211847471</v>
      </c>
      <c r="D46" s="114">
        <f>_xlfn.COMPOUNDVALUE(474)</f>
        <v>1339</v>
      </c>
      <c r="E46" s="115">
        <v>1037741</v>
      </c>
      <c r="F46" s="114">
        <f>_xlfn.COMPOUNDVALUE(475)</f>
        <v>7278</v>
      </c>
      <c r="G46" s="115">
        <v>212885212</v>
      </c>
      <c r="H46" s="114">
        <f>_xlfn.COMPOUNDVALUE(476)</f>
        <v>1045</v>
      </c>
      <c r="I46" s="116">
        <v>93322055</v>
      </c>
      <c r="J46" s="114">
        <v>638</v>
      </c>
      <c r="K46" s="116">
        <v>136541</v>
      </c>
      <c r="L46" s="114">
        <v>8390</v>
      </c>
      <c r="M46" s="116">
        <v>119699697</v>
      </c>
      <c r="N46" s="12" t="s">
        <v>55</v>
      </c>
    </row>
    <row r="47" spans="1:14" ht="15.75" customHeight="1">
      <c r="A47" s="11" t="s">
        <v>56</v>
      </c>
      <c r="B47" s="114">
        <f>_xlfn.COMPOUNDVALUE(477)</f>
        <v>2800</v>
      </c>
      <c r="C47" s="115">
        <v>98654262</v>
      </c>
      <c r="D47" s="114">
        <f>_xlfn.COMPOUNDVALUE(478)</f>
        <v>706</v>
      </c>
      <c r="E47" s="115">
        <v>484076</v>
      </c>
      <c r="F47" s="114">
        <f>_xlfn.COMPOUNDVALUE(479)</f>
        <v>3506</v>
      </c>
      <c r="G47" s="115">
        <v>99138339</v>
      </c>
      <c r="H47" s="114">
        <f>_xlfn.COMPOUNDVALUE(480)</f>
        <v>483</v>
      </c>
      <c r="I47" s="116">
        <v>14424745</v>
      </c>
      <c r="J47" s="114">
        <v>229</v>
      </c>
      <c r="K47" s="116">
        <v>411679</v>
      </c>
      <c r="L47" s="114">
        <v>4026</v>
      </c>
      <c r="M47" s="116">
        <v>85125272</v>
      </c>
      <c r="N47" s="12" t="s">
        <v>56</v>
      </c>
    </row>
    <row r="48" spans="1:14" ht="15.75" customHeight="1">
      <c r="A48" s="11" t="s">
        <v>57</v>
      </c>
      <c r="B48" s="114">
        <f>_xlfn.COMPOUNDVALUE(481)</f>
        <v>8227</v>
      </c>
      <c r="C48" s="115">
        <v>242217584</v>
      </c>
      <c r="D48" s="114">
        <f>_xlfn.COMPOUNDVALUE(482)</f>
        <v>1756</v>
      </c>
      <c r="E48" s="115">
        <v>1343064</v>
      </c>
      <c r="F48" s="114">
        <f>_xlfn.COMPOUNDVALUE(483)</f>
        <v>9983</v>
      </c>
      <c r="G48" s="115">
        <v>243560648</v>
      </c>
      <c r="H48" s="114">
        <f>_xlfn.COMPOUNDVALUE(484)</f>
        <v>2377</v>
      </c>
      <c r="I48" s="116">
        <v>56003644</v>
      </c>
      <c r="J48" s="114">
        <v>739</v>
      </c>
      <c r="K48" s="116">
        <v>655030</v>
      </c>
      <c r="L48" s="114">
        <v>12453</v>
      </c>
      <c r="M48" s="116">
        <v>188212034</v>
      </c>
      <c r="N48" s="12" t="s">
        <v>57</v>
      </c>
    </row>
    <row r="49" spans="1:14" ht="15.75" customHeight="1">
      <c r="A49" s="11" t="s">
        <v>58</v>
      </c>
      <c r="B49" s="114">
        <f>_xlfn.COMPOUNDVALUE(485)</f>
        <v>4532</v>
      </c>
      <c r="C49" s="115">
        <v>56261784</v>
      </c>
      <c r="D49" s="114">
        <f>_xlfn.COMPOUNDVALUE(486)</f>
        <v>1100</v>
      </c>
      <c r="E49" s="115">
        <v>733878</v>
      </c>
      <c r="F49" s="114">
        <f>_xlfn.COMPOUNDVALUE(487)</f>
        <v>5632</v>
      </c>
      <c r="G49" s="115">
        <v>56995662</v>
      </c>
      <c r="H49" s="114">
        <f>_xlfn.COMPOUNDVALUE(488)</f>
        <v>1072</v>
      </c>
      <c r="I49" s="116">
        <v>14601650</v>
      </c>
      <c r="J49" s="114">
        <v>370</v>
      </c>
      <c r="K49" s="116">
        <v>74557</v>
      </c>
      <c r="L49" s="114">
        <v>6753</v>
      </c>
      <c r="M49" s="116">
        <v>42468569</v>
      </c>
      <c r="N49" s="12" t="s">
        <v>58</v>
      </c>
    </row>
    <row r="50" spans="1:14" ht="15.75" customHeight="1">
      <c r="A50" s="11" t="s">
        <v>59</v>
      </c>
      <c r="B50" s="114">
        <f>_xlfn.COMPOUNDVALUE(489)</f>
        <v>8030</v>
      </c>
      <c r="C50" s="115">
        <v>62083361</v>
      </c>
      <c r="D50" s="114">
        <f>_xlfn.COMPOUNDVALUE(490)</f>
        <v>2208</v>
      </c>
      <c r="E50" s="115">
        <v>1462367</v>
      </c>
      <c r="F50" s="114">
        <f>_xlfn.COMPOUNDVALUE(491)</f>
        <v>10238</v>
      </c>
      <c r="G50" s="115">
        <v>63545728</v>
      </c>
      <c r="H50" s="114">
        <f>_xlfn.COMPOUNDVALUE(492)</f>
        <v>932</v>
      </c>
      <c r="I50" s="116">
        <v>39236413</v>
      </c>
      <c r="J50" s="114">
        <v>547</v>
      </c>
      <c r="K50" s="116">
        <v>18197</v>
      </c>
      <c r="L50" s="114">
        <v>11224</v>
      </c>
      <c r="M50" s="116">
        <v>24327513</v>
      </c>
      <c r="N50" s="12" t="s">
        <v>59</v>
      </c>
    </row>
    <row r="51" spans="1:14" ht="15.75" customHeight="1">
      <c r="A51" s="11" t="s">
        <v>60</v>
      </c>
      <c r="B51" s="114">
        <f>_xlfn.COMPOUNDVALUE(493)</f>
        <v>2561</v>
      </c>
      <c r="C51" s="115">
        <v>14299863</v>
      </c>
      <c r="D51" s="114">
        <f>_xlfn.COMPOUNDVALUE(494)</f>
        <v>655</v>
      </c>
      <c r="E51" s="115">
        <v>399281</v>
      </c>
      <c r="F51" s="114">
        <f>_xlfn.COMPOUNDVALUE(495)</f>
        <v>3216</v>
      </c>
      <c r="G51" s="115">
        <v>14699145</v>
      </c>
      <c r="H51" s="114">
        <f>_xlfn.COMPOUNDVALUE(496)</f>
        <v>253</v>
      </c>
      <c r="I51" s="116">
        <v>1724809</v>
      </c>
      <c r="J51" s="114">
        <v>179</v>
      </c>
      <c r="K51" s="116">
        <v>30308</v>
      </c>
      <c r="L51" s="114">
        <v>3486</v>
      </c>
      <c r="M51" s="116">
        <v>13004644</v>
      </c>
      <c r="N51" s="12" t="s">
        <v>60</v>
      </c>
    </row>
    <row r="52" spans="1:14" ht="15.75" customHeight="1">
      <c r="A52" s="11" t="s">
        <v>61</v>
      </c>
      <c r="B52" s="114">
        <f>_xlfn.COMPOUNDVALUE(497)</f>
        <v>5360</v>
      </c>
      <c r="C52" s="115">
        <v>47526284</v>
      </c>
      <c r="D52" s="114">
        <f>_xlfn.COMPOUNDVALUE(498)</f>
        <v>2100</v>
      </c>
      <c r="E52" s="115">
        <v>1306805</v>
      </c>
      <c r="F52" s="114">
        <f>_xlfn.COMPOUNDVALUE(499)</f>
        <v>7460</v>
      </c>
      <c r="G52" s="115">
        <v>48833089</v>
      </c>
      <c r="H52" s="114">
        <f>_xlfn.COMPOUNDVALUE(500)</f>
        <v>671</v>
      </c>
      <c r="I52" s="116">
        <v>2486317</v>
      </c>
      <c r="J52" s="114">
        <v>483</v>
      </c>
      <c r="K52" s="116">
        <v>56970</v>
      </c>
      <c r="L52" s="114">
        <v>8172</v>
      </c>
      <c r="M52" s="116">
        <v>46403741</v>
      </c>
      <c r="N52" s="12" t="s">
        <v>61</v>
      </c>
    </row>
    <row r="53" spans="1:14" ht="15.75" customHeight="1">
      <c r="A53" s="11" t="s">
        <v>62</v>
      </c>
      <c r="B53" s="114">
        <f>_xlfn.COMPOUNDVALUE(501)</f>
        <v>4355</v>
      </c>
      <c r="C53" s="115">
        <v>42337055</v>
      </c>
      <c r="D53" s="114">
        <f>_xlfn.COMPOUNDVALUE(502)</f>
        <v>1493</v>
      </c>
      <c r="E53" s="115">
        <v>1026123</v>
      </c>
      <c r="F53" s="114">
        <f>_xlfn.COMPOUNDVALUE(503)</f>
        <v>5848</v>
      </c>
      <c r="G53" s="115">
        <v>43363177</v>
      </c>
      <c r="H53" s="114">
        <f>_xlfn.COMPOUNDVALUE(504)</f>
        <v>432</v>
      </c>
      <c r="I53" s="116">
        <v>3651823</v>
      </c>
      <c r="J53" s="114">
        <v>335</v>
      </c>
      <c r="K53" s="116">
        <v>63404</v>
      </c>
      <c r="L53" s="114">
        <v>6331</v>
      </c>
      <c r="M53" s="116">
        <v>39774759</v>
      </c>
      <c r="N53" s="12" t="s">
        <v>62</v>
      </c>
    </row>
    <row r="54" spans="1:14" ht="15.75" customHeight="1">
      <c r="A54" s="11" t="s">
        <v>63</v>
      </c>
      <c r="B54" s="114">
        <f>_xlfn.COMPOUNDVALUE(505)</f>
        <v>2684</v>
      </c>
      <c r="C54" s="115">
        <v>20388389</v>
      </c>
      <c r="D54" s="114">
        <f>_xlfn.COMPOUNDVALUE(506)</f>
        <v>707</v>
      </c>
      <c r="E54" s="115">
        <v>451539</v>
      </c>
      <c r="F54" s="114">
        <f>_xlfn.COMPOUNDVALUE(507)</f>
        <v>3391</v>
      </c>
      <c r="G54" s="115">
        <v>20839928</v>
      </c>
      <c r="H54" s="114">
        <f>_xlfn.COMPOUNDVALUE(508)</f>
        <v>376</v>
      </c>
      <c r="I54" s="116">
        <v>3439651</v>
      </c>
      <c r="J54" s="114">
        <v>247</v>
      </c>
      <c r="K54" s="116">
        <v>36036</v>
      </c>
      <c r="L54" s="114">
        <v>3804</v>
      </c>
      <c r="M54" s="116">
        <v>17436313</v>
      </c>
      <c r="N54" s="12" t="s">
        <v>63</v>
      </c>
    </row>
    <row r="55" spans="1:14" ht="15.75" customHeight="1">
      <c r="A55" s="13" t="s">
        <v>64</v>
      </c>
      <c r="B55" s="119">
        <f>_xlfn.COMPOUNDVALUE(509)</f>
        <v>4501</v>
      </c>
      <c r="C55" s="120">
        <v>28326096</v>
      </c>
      <c r="D55" s="119">
        <f>_xlfn.COMPOUNDVALUE(510)</f>
        <v>1344</v>
      </c>
      <c r="E55" s="120">
        <v>866491</v>
      </c>
      <c r="F55" s="119">
        <f>_xlfn.COMPOUNDVALUE(511)</f>
        <v>5845</v>
      </c>
      <c r="G55" s="120">
        <v>29192586</v>
      </c>
      <c r="H55" s="119">
        <f>_xlfn.COMPOUNDVALUE(512)</f>
        <v>451</v>
      </c>
      <c r="I55" s="121">
        <v>2353719</v>
      </c>
      <c r="J55" s="119">
        <v>307</v>
      </c>
      <c r="K55" s="121">
        <v>366855</v>
      </c>
      <c r="L55" s="119">
        <v>6316</v>
      </c>
      <c r="M55" s="121">
        <v>27205723</v>
      </c>
      <c r="N55" s="14" t="s">
        <v>64</v>
      </c>
    </row>
    <row r="56" spans="1:14" ht="15.75" customHeight="1">
      <c r="A56" s="13" t="s">
        <v>65</v>
      </c>
      <c r="B56" s="119">
        <f>_xlfn.COMPOUNDVALUE(513)</f>
        <v>4255</v>
      </c>
      <c r="C56" s="120">
        <v>35401937</v>
      </c>
      <c r="D56" s="119">
        <f>_xlfn.COMPOUNDVALUE(514)</f>
        <v>1518</v>
      </c>
      <c r="E56" s="120">
        <v>961537</v>
      </c>
      <c r="F56" s="119">
        <f>_xlfn.COMPOUNDVALUE(515)</f>
        <v>5773</v>
      </c>
      <c r="G56" s="120">
        <v>36363474</v>
      </c>
      <c r="H56" s="119">
        <f>_xlfn.COMPOUNDVALUE(516)</f>
        <v>367</v>
      </c>
      <c r="I56" s="121">
        <v>15219160</v>
      </c>
      <c r="J56" s="119">
        <v>386</v>
      </c>
      <c r="K56" s="121">
        <v>50531</v>
      </c>
      <c r="L56" s="119">
        <v>6172</v>
      </c>
      <c r="M56" s="121">
        <v>21194845</v>
      </c>
      <c r="N56" s="14" t="s">
        <v>65</v>
      </c>
    </row>
    <row r="57" spans="1:14" ht="15.75" customHeight="1">
      <c r="A57" s="13" t="s">
        <v>66</v>
      </c>
      <c r="B57" s="119">
        <f>_xlfn.COMPOUNDVALUE(517)</f>
        <v>5143</v>
      </c>
      <c r="C57" s="120">
        <v>33785141</v>
      </c>
      <c r="D57" s="119">
        <f>_xlfn.COMPOUNDVALUE(518)</f>
        <v>1627</v>
      </c>
      <c r="E57" s="120">
        <v>1001908</v>
      </c>
      <c r="F57" s="119">
        <f>_xlfn.COMPOUNDVALUE(519)</f>
        <v>6770</v>
      </c>
      <c r="G57" s="120">
        <v>34787049</v>
      </c>
      <c r="H57" s="119">
        <f>_xlfn.COMPOUNDVALUE(520)</f>
        <v>425</v>
      </c>
      <c r="I57" s="121">
        <v>3660011</v>
      </c>
      <c r="J57" s="119">
        <v>345</v>
      </c>
      <c r="K57" s="121">
        <v>64706</v>
      </c>
      <c r="L57" s="119">
        <v>7228</v>
      </c>
      <c r="M57" s="121">
        <v>31191744</v>
      </c>
      <c r="N57" s="14" t="s">
        <v>66</v>
      </c>
    </row>
    <row r="58" spans="1:14" ht="15.75" customHeight="1">
      <c r="A58" s="13" t="s">
        <v>67</v>
      </c>
      <c r="B58" s="119">
        <f>_xlfn.COMPOUNDVALUE(521)</f>
        <v>2116</v>
      </c>
      <c r="C58" s="120">
        <v>14525605</v>
      </c>
      <c r="D58" s="119">
        <f>_xlfn.COMPOUNDVALUE(522)</f>
        <v>570</v>
      </c>
      <c r="E58" s="120">
        <v>353424</v>
      </c>
      <c r="F58" s="119">
        <f>_xlfn.COMPOUNDVALUE(523)</f>
        <v>2686</v>
      </c>
      <c r="G58" s="120">
        <v>14879029</v>
      </c>
      <c r="H58" s="119">
        <f>_xlfn.COMPOUNDVALUE(524)</f>
        <v>219</v>
      </c>
      <c r="I58" s="121">
        <v>2329981</v>
      </c>
      <c r="J58" s="119">
        <v>150</v>
      </c>
      <c r="K58" s="121">
        <v>20535</v>
      </c>
      <c r="L58" s="119">
        <v>2928</v>
      </c>
      <c r="M58" s="121">
        <v>12569583</v>
      </c>
      <c r="N58" s="14" t="s">
        <v>67</v>
      </c>
    </row>
    <row r="59" spans="1:14" ht="15.75" customHeight="1">
      <c r="A59" s="13" t="s">
        <v>68</v>
      </c>
      <c r="B59" s="119">
        <f>_xlfn.COMPOUNDVALUE(525)</f>
        <v>3517</v>
      </c>
      <c r="C59" s="120">
        <v>18809520</v>
      </c>
      <c r="D59" s="119">
        <f>_xlfn.COMPOUNDVALUE(526)</f>
        <v>1184</v>
      </c>
      <c r="E59" s="120">
        <v>718180</v>
      </c>
      <c r="F59" s="119">
        <f>_xlfn.COMPOUNDVALUE(527)</f>
        <v>4701</v>
      </c>
      <c r="G59" s="120">
        <v>19527700</v>
      </c>
      <c r="H59" s="119">
        <f>_xlfn.COMPOUNDVALUE(528)</f>
        <v>284</v>
      </c>
      <c r="I59" s="121">
        <v>670623</v>
      </c>
      <c r="J59" s="119">
        <v>296</v>
      </c>
      <c r="K59" s="121">
        <v>97485</v>
      </c>
      <c r="L59" s="119">
        <v>5024</v>
      </c>
      <c r="M59" s="121">
        <v>18954562</v>
      </c>
      <c r="N59" s="14" t="s">
        <v>68</v>
      </c>
    </row>
    <row r="60" spans="1:14" ht="15.75" customHeight="1">
      <c r="A60" s="13" t="s">
        <v>69</v>
      </c>
      <c r="B60" s="119">
        <f>_xlfn.COMPOUNDVALUE(529)</f>
        <v>4782</v>
      </c>
      <c r="C60" s="120">
        <v>36516879</v>
      </c>
      <c r="D60" s="119">
        <f>_xlfn.COMPOUNDVALUE(530)</f>
        <v>1631</v>
      </c>
      <c r="E60" s="120">
        <v>1048828</v>
      </c>
      <c r="F60" s="119">
        <f>_xlfn.COMPOUNDVALUE(531)</f>
        <v>6413</v>
      </c>
      <c r="G60" s="120">
        <v>37565707</v>
      </c>
      <c r="H60" s="119">
        <f>_xlfn.COMPOUNDVALUE(532)</f>
        <v>398</v>
      </c>
      <c r="I60" s="121">
        <v>42758026</v>
      </c>
      <c r="J60" s="119">
        <v>383</v>
      </c>
      <c r="K60" s="121">
        <v>102734</v>
      </c>
      <c r="L60" s="119">
        <v>6853</v>
      </c>
      <c r="M60" s="121">
        <v>-5089586</v>
      </c>
      <c r="N60" s="14" t="s">
        <v>69</v>
      </c>
    </row>
    <row r="61" spans="1:14" ht="15.75" customHeight="1">
      <c r="A61" s="13" t="s">
        <v>70</v>
      </c>
      <c r="B61" s="119">
        <f>_xlfn.COMPOUNDVALUE(533)</f>
        <v>7546</v>
      </c>
      <c r="C61" s="120">
        <v>49220359</v>
      </c>
      <c r="D61" s="119">
        <f>_xlfn.COMPOUNDVALUE(534)</f>
        <v>2249</v>
      </c>
      <c r="E61" s="120">
        <v>1409482</v>
      </c>
      <c r="F61" s="119">
        <f>_xlfn.COMPOUNDVALUE(535)</f>
        <v>9795</v>
      </c>
      <c r="G61" s="120">
        <v>50629840</v>
      </c>
      <c r="H61" s="119">
        <f>_xlfn.COMPOUNDVALUE(536)</f>
        <v>549</v>
      </c>
      <c r="I61" s="121">
        <v>2344566</v>
      </c>
      <c r="J61" s="119">
        <v>637</v>
      </c>
      <c r="K61" s="121">
        <v>104297</v>
      </c>
      <c r="L61" s="119">
        <v>10389</v>
      </c>
      <c r="M61" s="121">
        <v>48389572</v>
      </c>
      <c r="N61" s="14" t="s">
        <v>70</v>
      </c>
    </row>
    <row r="62" spans="1:14" ht="15.75" customHeight="1">
      <c r="A62" s="15" t="s">
        <v>162</v>
      </c>
      <c r="B62" s="124">
        <v>115581</v>
      </c>
      <c r="C62" s="125">
        <v>1468446344</v>
      </c>
      <c r="D62" s="124">
        <v>33266</v>
      </c>
      <c r="E62" s="125">
        <v>21800050</v>
      </c>
      <c r="F62" s="124">
        <v>148847</v>
      </c>
      <c r="G62" s="125">
        <v>1490246394</v>
      </c>
      <c r="H62" s="124">
        <v>16019</v>
      </c>
      <c r="I62" s="126">
        <v>373668528</v>
      </c>
      <c r="J62" s="124">
        <v>9818</v>
      </c>
      <c r="K62" s="126">
        <v>3603160</v>
      </c>
      <c r="L62" s="124">
        <v>165979</v>
      </c>
      <c r="M62" s="126">
        <v>1120181027</v>
      </c>
      <c r="N62" s="16" t="s">
        <v>122</v>
      </c>
    </row>
    <row r="63" spans="1:14" ht="15.75" customHeight="1">
      <c r="A63" s="23"/>
      <c r="B63" s="129"/>
      <c r="C63" s="130"/>
      <c r="D63" s="129"/>
      <c r="E63" s="130"/>
      <c r="F63" s="131"/>
      <c r="G63" s="130"/>
      <c r="H63" s="131"/>
      <c r="I63" s="130"/>
      <c r="J63" s="131"/>
      <c r="K63" s="130"/>
      <c r="L63" s="131"/>
      <c r="M63" s="130"/>
      <c r="N63" s="24"/>
    </row>
    <row r="64" spans="1:14" ht="15.75" customHeight="1">
      <c r="A64" s="11" t="s">
        <v>72</v>
      </c>
      <c r="B64" s="114">
        <f>_xlfn.COMPOUNDVALUE(537)</f>
        <v>1171</v>
      </c>
      <c r="C64" s="115">
        <v>12158046</v>
      </c>
      <c r="D64" s="114">
        <f>_xlfn.COMPOUNDVALUE(538)</f>
        <v>412</v>
      </c>
      <c r="E64" s="115">
        <v>257555</v>
      </c>
      <c r="F64" s="114">
        <f>_xlfn.COMPOUNDVALUE(539)</f>
        <v>1583</v>
      </c>
      <c r="G64" s="115">
        <v>12415601</v>
      </c>
      <c r="H64" s="114">
        <f>_xlfn.COMPOUNDVALUE(540)</f>
        <v>249</v>
      </c>
      <c r="I64" s="116">
        <v>1107534</v>
      </c>
      <c r="J64" s="114">
        <v>133</v>
      </c>
      <c r="K64" s="116">
        <v>-54922</v>
      </c>
      <c r="L64" s="114">
        <v>1846</v>
      </c>
      <c r="M64" s="116">
        <v>11253145</v>
      </c>
      <c r="N64" s="25" t="s">
        <v>72</v>
      </c>
    </row>
    <row r="65" spans="1:14" ht="15.75" customHeight="1">
      <c r="A65" s="11" t="s">
        <v>73</v>
      </c>
      <c r="B65" s="114">
        <f>_xlfn.COMPOUNDVALUE(541)</f>
        <v>3439</v>
      </c>
      <c r="C65" s="115">
        <v>23004758</v>
      </c>
      <c r="D65" s="114">
        <f>_xlfn.COMPOUNDVALUE(542)</f>
        <v>1097</v>
      </c>
      <c r="E65" s="115">
        <v>632122</v>
      </c>
      <c r="F65" s="114">
        <f>_xlfn.COMPOUNDVALUE(543)</f>
        <v>4536</v>
      </c>
      <c r="G65" s="115">
        <v>23636880</v>
      </c>
      <c r="H65" s="114">
        <f>_xlfn.COMPOUNDVALUE(544)</f>
        <v>432</v>
      </c>
      <c r="I65" s="116">
        <v>3396846</v>
      </c>
      <c r="J65" s="114">
        <v>364</v>
      </c>
      <c r="K65" s="116">
        <v>40927</v>
      </c>
      <c r="L65" s="114">
        <v>5008</v>
      </c>
      <c r="M65" s="116">
        <v>20280961</v>
      </c>
      <c r="N65" s="12" t="s">
        <v>73</v>
      </c>
    </row>
    <row r="66" spans="1:14" ht="15.75" customHeight="1">
      <c r="A66" s="11" t="s">
        <v>74</v>
      </c>
      <c r="B66" s="114">
        <f>_xlfn.COMPOUNDVALUE(545)</f>
        <v>1339</v>
      </c>
      <c r="C66" s="115">
        <v>8065635</v>
      </c>
      <c r="D66" s="114">
        <f>_xlfn.COMPOUNDVALUE(546)</f>
        <v>380</v>
      </c>
      <c r="E66" s="115">
        <v>211278</v>
      </c>
      <c r="F66" s="114">
        <f>_xlfn.COMPOUNDVALUE(547)</f>
        <v>1719</v>
      </c>
      <c r="G66" s="115">
        <v>8276913</v>
      </c>
      <c r="H66" s="114">
        <f>_xlfn.COMPOUNDVALUE(548)</f>
        <v>128</v>
      </c>
      <c r="I66" s="116">
        <v>581321</v>
      </c>
      <c r="J66" s="114">
        <v>128</v>
      </c>
      <c r="K66" s="116">
        <v>19605</v>
      </c>
      <c r="L66" s="114">
        <v>1861</v>
      </c>
      <c r="M66" s="116">
        <v>7715197</v>
      </c>
      <c r="N66" s="12" t="s">
        <v>74</v>
      </c>
    </row>
    <row r="67" spans="1:14" ht="15.75" customHeight="1">
      <c r="A67" s="11" t="s">
        <v>75</v>
      </c>
      <c r="B67" s="114">
        <f>_xlfn.COMPOUNDVALUE(549)</f>
        <v>1693</v>
      </c>
      <c r="C67" s="115">
        <v>7338678</v>
      </c>
      <c r="D67" s="114">
        <f>_xlfn.COMPOUNDVALUE(550)</f>
        <v>689</v>
      </c>
      <c r="E67" s="115">
        <v>418205</v>
      </c>
      <c r="F67" s="114">
        <f>_xlfn.COMPOUNDVALUE(551)</f>
        <v>2382</v>
      </c>
      <c r="G67" s="115">
        <v>7756883</v>
      </c>
      <c r="H67" s="114">
        <f>_xlfn.COMPOUNDVALUE(552)</f>
        <v>258</v>
      </c>
      <c r="I67" s="116">
        <v>755916</v>
      </c>
      <c r="J67" s="114">
        <v>132</v>
      </c>
      <c r="K67" s="116">
        <v>53034</v>
      </c>
      <c r="L67" s="114">
        <v>2658</v>
      </c>
      <c r="M67" s="116">
        <v>7054000</v>
      </c>
      <c r="N67" s="12" t="s">
        <v>75</v>
      </c>
    </row>
    <row r="68" spans="1:14" ht="15.75" customHeight="1">
      <c r="A68" s="11" t="s">
        <v>76</v>
      </c>
      <c r="B68" s="114">
        <f>_xlfn.COMPOUNDVALUE(553)</f>
        <v>5077</v>
      </c>
      <c r="C68" s="115">
        <v>84395404</v>
      </c>
      <c r="D68" s="114">
        <f>_xlfn.COMPOUNDVALUE(554)</f>
        <v>1405</v>
      </c>
      <c r="E68" s="115">
        <v>949315</v>
      </c>
      <c r="F68" s="114">
        <f>_xlfn.COMPOUNDVALUE(555)</f>
        <v>6482</v>
      </c>
      <c r="G68" s="115">
        <v>85344719</v>
      </c>
      <c r="H68" s="114">
        <f>_xlfn.COMPOUNDVALUE(556)</f>
        <v>1886</v>
      </c>
      <c r="I68" s="116">
        <v>44286157</v>
      </c>
      <c r="J68" s="114">
        <v>749</v>
      </c>
      <c r="K68" s="116">
        <v>-242633</v>
      </c>
      <c r="L68" s="114">
        <v>8461</v>
      </c>
      <c r="M68" s="116">
        <v>40815929</v>
      </c>
      <c r="N68" s="12" t="s">
        <v>76</v>
      </c>
    </row>
    <row r="69" spans="1:14" ht="15.75" customHeight="1">
      <c r="A69" s="11" t="s">
        <v>77</v>
      </c>
      <c r="B69" s="114">
        <f>_xlfn.COMPOUNDVALUE(557)</f>
        <v>6059</v>
      </c>
      <c r="C69" s="115">
        <v>46992472</v>
      </c>
      <c r="D69" s="114">
        <f>_xlfn.COMPOUNDVALUE(558)</f>
        <v>1699</v>
      </c>
      <c r="E69" s="115">
        <v>1144163</v>
      </c>
      <c r="F69" s="114">
        <f>_xlfn.COMPOUNDVALUE(559)</f>
        <v>7758</v>
      </c>
      <c r="G69" s="115">
        <v>48136635</v>
      </c>
      <c r="H69" s="114">
        <f>_xlfn.COMPOUNDVALUE(560)</f>
        <v>442</v>
      </c>
      <c r="I69" s="116">
        <v>2538559</v>
      </c>
      <c r="J69" s="114">
        <v>427</v>
      </c>
      <c r="K69" s="116">
        <v>77587</v>
      </c>
      <c r="L69" s="114">
        <v>8242</v>
      </c>
      <c r="M69" s="116">
        <v>45675663</v>
      </c>
      <c r="N69" s="12" t="s">
        <v>77</v>
      </c>
    </row>
    <row r="70" spans="1:14" ht="15.75" customHeight="1">
      <c r="A70" s="11" t="s">
        <v>78</v>
      </c>
      <c r="B70" s="114">
        <f>_xlfn.COMPOUNDVALUE(561)</f>
        <v>4521</v>
      </c>
      <c r="C70" s="115">
        <v>40726837</v>
      </c>
      <c r="D70" s="114">
        <f>_xlfn.COMPOUNDVALUE(562)</f>
        <v>1226</v>
      </c>
      <c r="E70" s="115">
        <v>782511</v>
      </c>
      <c r="F70" s="114">
        <f>_xlfn.COMPOUNDVALUE(563)</f>
        <v>5747</v>
      </c>
      <c r="G70" s="115">
        <v>41509348</v>
      </c>
      <c r="H70" s="114">
        <f>_xlfn.COMPOUNDVALUE(564)</f>
        <v>457</v>
      </c>
      <c r="I70" s="116">
        <v>2189745</v>
      </c>
      <c r="J70" s="114">
        <v>414</v>
      </c>
      <c r="K70" s="116">
        <v>106967</v>
      </c>
      <c r="L70" s="114">
        <v>6245</v>
      </c>
      <c r="M70" s="116">
        <v>39426571</v>
      </c>
      <c r="N70" s="12" t="s">
        <v>78</v>
      </c>
    </row>
    <row r="71" spans="1:14" ht="15.75" customHeight="1">
      <c r="A71" s="11" t="s">
        <v>79</v>
      </c>
      <c r="B71" s="114">
        <f>_xlfn.COMPOUNDVALUE(565)</f>
        <v>3458</v>
      </c>
      <c r="C71" s="115">
        <v>22786446</v>
      </c>
      <c r="D71" s="114">
        <f>_xlfn.COMPOUNDVALUE(566)</f>
        <v>1093</v>
      </c>
      <c r="E71" s="115">
        <v>727826</v>
      </c>
      <c r="F71" s="114">
        <f>_xlfn.COMPOUNDVALUE(567)</f>
        <v>4551</v>
      </c>
      <c r="G71" s="115">
        <v>23514272</v>
      </c>
      <c r="H71" s="114">
        <f>_xlfn.COMPOUNDVALUE(568)</f>
        <v>383</v>
      </c>
      <c r="I71" s="116">
        <v>1830033</v>
      </c>
      <c r="J71" s="114">
        <v>359</v>
      </c>
      <c r="K71" s="116">
        <v>35705</v>
      </c>
      <c r="L71" s="114">
        <v>4973</v>
      </c>
      <c r="M71" s="116">
        <v>21719943</v>
      </c>
      <c r="N71" s="12" t="s">
        <v>79</v>
      </c>
    </row>
    <row r="72" spans="1:14" ht="15.75" customHeight="1">
      <c r="A72" s="11" t="s">
        <v>80</v>
      </c>
      <c r="B72" s="114">
        <f>_xlfn.COMPOUNDVALUE(569)</f>
        <v>4483</v>
      </c>
      <c r="C72" s="115">
        <v>31549420</v>
      </c>
      <c r="D72" s="114">
        <f>_xlfn.COMPOUNDVALUE(570)</f>
        <v>1776</v>
      </c>
      <c r="E72" s="115">
        <v>1144897</v>
      </c>
      <c r="F72" s="114">
        <f>_xlfn.COMPOUNDVALUE(571)</f>
        <v>6259</v>
      </c>
      <c r="G72" s="115">
        <v>32694317</v>
      </c>
      <c r="H72" s="114">
        <f>_xlfn.COMPOUNDVALUE(572)</f>
        <v>558</v>
      </c>
      <c r="I72" s="116">
        <v>3316214</v>
      </c>
      <c r="J72" s="114">
        <v>377</v>
      </c>
      <c r="K72" s="116">
        <v>74687</v>
      </c>
      <c r="L72" s="114">
        <v>6870</v>
      </c>
      <c r="M72" s="116">
        <v>29452790</v>
      </c>
      <c r="N72" s="12" t="s">
        <v>80</v>
      </c>
    </row>
    <row r="73" spans="1:14" ht="15.75" customHeight="1">
      <c r="A73" s="11" t="s">
        <v>81</v>
      </c>
      <c r="B73" s="114">
        <f>_xlfn.COMPOUNDVALUE(573)</f>
        <v>1378</v>
      </c>
      <c r="C73" s="115">
        <v>7645110</v>
      </c>
      <c r="D73" s="114">
        <f>_xlfn.COMPOUNDVALUE(574)</f>
        <v>408</v>
      </c>
      <c r="E73" s="115">
        <v>232551</v>
      </c>
      <c r="F73" s="114">
        <f>_xlfn.COMPOUNDVALUE(575)</f>
        <v>1786</v>
      </c>
      <c r="G73" s="115">
        <v>7877661</v>
      </c>
      <c r="H73" s="114">
        <f>_xlfn.COMPOUNDVALUE(576)</f>
        <v>82</v>
      </c>
      <c r="I73" s="116">
        <v>632632</v>
      </c>
      <c r="J73" s="114">
        <v>106</v>
      </c>
      <c r="K73" s="116">
        <v>18958</v>
      </c>
      <c r="L73" s="114">
        <v>1880</v>
      </c>
      <c r="M73" s="116">
        <v>7263987</v>
      </c>
      <c r="N73" s="12" t="s">
        <v>81</v>
      </c>
    </row>
    <row r="74" spans="1:14" ht="15.75" customHeight="1">
      <c r="A74" s="11" t="s">
        <v>82</v>
      </c>
      <c r="B74" s="114">
        <f>_xlfn.COMPOUNDVALUE(577)</f>
        <v>2649</v>
      </c>
      <c r="C74" s="115">
        <v>23853237</v>
      </c>
      <c r="D74" s="114">
        <f>_xlfn.COMPOUNDVALUE(578)</f>
        <v>914</v>
      </c>
      <c r="E74" s="115">
        <v>562358</v>
      </c>
      <c r="F74" s="114">
        <f>_xlfn.COMPOUNDVALUE(579)</f>
        <v>3563</v>
      </c>
      <c r="G74" s="115">
        <v>24415594</v>
      </c>
      <c r="H74" s="114">
        <f>_xlfn.COMPOUNDVALUE(580)</f>
        <v>568</v>
      </c>
      <c r="I74" s="116">
        <v>4648520</v>
      </c>
      <c r="J74" s="114">
        <v>253</v>
      </c>
      <c r="K74" s="116">
        <v>41058</v>
      </c>
      <c r="L74" s="114">
        <v>4187</v>
      </c>
      <c r="M74" s="116">
        <v>19808132</v>
      </c>
      <c r="N74" s="12" t="s">
        <v>82</v>
      </c>
    </row>
    <row r="75" spans="1:14" ht="15.75" customHeight="1">
      <c r="A75" s="11" t="s">
        <v>83</v>
      </c>
      <c r="B75" s="114">
        <f>_xlfn.COMPOUNDVALUE(581)</f>
        <v>2467</v>
      </c>
      <c r="C75" s="115">
        <v>18054861</v>
      </c>
      <c r="D75" s="114">
        <f>_xlfn.COMPOUNDVALUE(582)</f>
        <v>877</v>
      </c>
      <c r="E75" s="115">
        <v>544032</v>
      </c>
      <c r="F75" s="114">
        <f>_xlfn.COMPOUNDVALUE(583)</f>
        <v>3344</v>
      </c>
      <c r="G75" s="115">
        <v>18598894</v>
      </c>
      <c r="H75" s="114">
        <f>_xlfn.COMPOUNDVALUE(584)</f>
        <v>257</v>
      </c>
      <c r="I75" s="116">
        <v>2679822</v>
      </c>
      <c r="J75" s="114">
        <v>209</v>
      </c>
      <c r="K75" s="116">
        <v>179535</v>
      </c>
      <c r="L75" s="114">
        <v>3624</v>
      </c>
      <c r="M75" s="116">
        <v>16098606</v>
      </c>
      <c r="N75" s="12" t="s">
        <v>83</v>
      </c>
    </row>
    <row r="76" spans="1:14" ht="15.75" customHeight="1">
      <c r="A76" s="11" t="s">
        <v>84</v>
      </c>
      <c r="B76" s="114">
        <f>_xlfn.COMPOUNDVALUE(585)</f>
        <v>819</v>
      </c>
      <c r="C76" s="115">
        <v>4517773</v>
      </c>
      <c r="D76" s="114">
        <f>_xlfn.COMPOUNDVALUE(586)</f>
        <v>271</v>
      </c>
      <c r="E76" s="115">
        <v>161926</v>
      </c>
      <c r="F76" s="114">
        <f>_xlfn.COMPOUNDVALUE(587)</f>
        <v>1090</v>
      </c>
      <c r="G76" s="115">
        <v>4679698</v>
      </c>
      <c r="H76" s="114">
        <f>_xlfn.COMPOUNDVALUE(588)</f>
        <v>39</v>
      </c>
      <c r="I76" s="116">
        <v>462193</v>
      </c>
      <c r="J76" s="114">
        <v>32</v>
      </c>
      <c r="K76" s="116">
        <v>5795</v>
      </c>
      <c r="L76" s="114">
        <v>1133</v>
      </c>
      <c r="M76" s="116">
        <v>4223300</v>
      </c>
      <c r="N76" s="12" t="s">
        <v>84</v>
      </c>
    </row>
    <row r="77" spans="1:14" ht="15.75" customHeight="1">
      <c r="A77" s="11" t="s">
        <v>85</v>
      </c>
      <c r="B77" s="114">
        <f>_xlfn.COMPOUNDVALUE(589)</f>
        <v>1182</v>
      </c>
      <c r="C77" s="115">
        <v>5756026</v>
      </c>
      <c r="D77" s="114">
        <f>_xlfn.COMPOUNDVALUE(590)</f>
        <v>287</v>
      </c>
      <c r="E77" s="115">
        <v>163515</v>
      </c>
      <c r="F77" s="114">
        <f>_xlfn.COMPOUNDVALUE(591)</f>
        <v>1469</v>
      </c>
      <c r="G77" s="115">
        <v>5919541</v>
      </c>
      <c r="H77" s="114">
        <f>_xlfn.COMPOUNDVALUE(592)</f>
        <v>54</v>
      </c>
      <c r="I77" s="116">
        <v>223756</v>
      </c>
      <c r="J77" s="114">
        <v>128</v>
      </c>
      <c r="K77" s="116">
        <v>5321</v>
      </c>
      <c r="L77" s="114">
        <v>1533</v>
      </c>
      <c r="M77" s="116">
        <v>5701105</v>
      </c>
      <c r="N77" s="12" t="s">
        <v>85</v>
      </c>
    </row>
    <row r="78" spans="1:14" ht="15.75" customHeight="1">
      <c r="A78" s="13" t="s">
        <v>86</v>
      </c>
      <c r="B78" s="119">
        <f>_xlfn.COMPOUNDVALUE(593)</f>
        <v>2914</v>
      </c>
      <c r="C78" s="120">
        <v>19719529</v>
      </c>
      <c r="D78" s="119">
        <f>_xlfn.COMPOUNDVALUE(594)</f>
        <v>896</v>
      </c>
      <c r="E78" s="120">
        <v>565348</v>
      </c>
      <c r="F78" s="119">
        <f>_xlfn.COMPOUNDVALUE(595)</f>
        <v>3810</v>
      </c>
      <c r="G78" s="120">
        <v>20284877</v>
      </c>
      <c r="H78" s="119">
        <f>_xlfn.COMPOUNDVALUE(596)</f>
        <v>231</v>
      </c>
      <c r="I78" s="121">
        <v>3479341</v>
      </c>
      <c r="J78" s="119">
        <v>301</v>
      </c>
      <c r="K78" s="121">
        <v>43325</v>
      </c>
      <c r="L78" s="119">
        <v>4071</v>
      </c>
      <c r="M78" s="121">
        <v>16848861</v>
      </c>
      <c r="N78" s="14" t="s">
        <v>86</v>
      </c>
    </row>
    <row r="79" spans="1:14" ht="15.75" customHeight="1">
      <c r="A79" s="13" t="s">
        <v>87</v>
      </c>
      <c r="B79" s="119">
        <f>_xlfn.COMPOUNDVALUE(597)</f>
        <v>1316</v>
      </c>
      <c r="C79" s="120">
        <v>7347302</v>
      </c>
      <c r="D79" s="119">
        <f>_xlfn.COMPOUNDVALUE(598)</f>
        <v>471</v>
      </c>
      <c r="E79" s="120">
        <v>263025</v>
      </c>
      <c r="F79" s="119">
        <f>_xlfn.COMPOUNDVALUE(599)</f>
        <v>1787</v>
      </c>
      <c r="G79" s="120">
        <v>7610328</v>
      </c>
      <c r="H79" s="119">
        <f>_xlfn.COMPOUNDVALUE(600)</f>
        <v>91</v>
      </c>
      <c r="I79" s="121">
        <v>823694</v>
      </c>
      <c r="J79" s="119">
        <v>111</v>
      </c>
      <c r="K79" s="121">
        <v>-5903</v>
      </c>
      <c r="L79" s="119">
        <v>1886</v>
      </c>
      <c r="M79" s="121">
        <v>6780731</v>
      </c>
      <c r="N79" s="14" t="s">
        <v>87</v>
      </c>
    </row>
    <row r="80" spans="1:14" ht="15.75" customHeight="1">
      <c r="A80" s="13" t="s">
        <v>88</v>
      </c>
      <c r="B80" s="119">
        <f>_xlfn.COMPOUNDVALUE(601)</f>
        <v>648</v>
      </c>
      <c r="C80" s="120">
        <v>2775748</v>
      </c>
      <c r="D80" s="119">
        <f>_xlfn.COMPOUNDVALUE(602)</f>
        <v>260</v>
      </c>
      <c r="E80" s="120">
        <v>133751</v>
      </c>
      <c r="F80" s="119">
        <f>_xlfn.COMPOUNDVALUE(603)</f>
        <v>908</v>
      </c>
      <c r="G80" s="120">
        <v>2909499</v>
      </c>
      <c r="H80" s="119">
        <f>_xlfn.COMPOUNDVALUE(604)</f>
        <v>37</v>
      </c>
      <c r="I80" s="121">
        <v>89331</v>
      </c>
      <c r="J80" s="119">
        <v>26</v>
      </c>
      <c r="K80" s="121">
        <v>15290</v>
      </c>
      <c r="L80" s="119">
        <v>948</v>
      </c>
      <c r="M80" s="121">
        <v>2835457</v>
      </c>
      <c r="N80" s="14" t="s">
        <v>88</v>
      </c>
    </row>
    <row r="81" spans="1:14" ht="15.75" customHeight="1">
      <c r="A81" s="13" t="s">
        <v>89</v>
      </c>
      <c r="B81" s="119">
        <f>_xlfn.COMPOUNDVALUE(605)</f>
        <v>730</v>
      </c>
      <c r="C81" s="120">
        <v>4134995</v>
      </c>
      <c r="D81" s="119">
        <f>_xlfn.COMPOUNDVALUE(606)</f>
        <v>198</v>
      </c>
      <c r="E81" s="120">
        <v>110705</v>
      </c>
      <c r="F81" s="119">
        <f>_xlfn.COMPOUNDVALUE(607)</f>
        <v>928</v>
      </c>
      <c r="G81" s="120">
        <v>4245700</v>
      </c>
      <c r="H81" s="119">
        <f>_xlfn.COMPOUNDVALUE(608)</f>
        <v>139</v>
      </c>
      <c r="I81" s="121">
        <v>1114531</v>
      </c>
      <c r="J81" s="119">
        <v>66</v>
      </c>
      <c r="K81" s="121">
        <v>8151</v>
      </c>
      <c r="L81" s="119">
        <v>1076</v>
      </c>
      <c r="M81" s="121">
        <v>3139320</v>
      </c>
      <c r="N81" s="14" t="s">
        <v>89</v>
      </c>
    </row>
    <row r="82" spans="1:14" ht="15.75" customHeight="1">
      <c r="A82" s="13" t="s">
        <v>90</v>
      </c>
      <c r="B82" s="119">
        <f>_xlfn.COMPOUNDVALUE(609)</f>
        <v>1340</v>
      </c>
      <c r="C82" s="120">
        <v>7896736</v>
      </c>
      <c r="D82" s="119">
        <f>_xlfn.COMPOUNDVALUE(610)</f>
        <v>409</v>
      </c>
      <c r="E82" s="120">
        <v>238432</v>
      </c>
      <c r="F82" s="119">
        <f>_xlfn.COMPOUNDVALUE(611)</f>
        <v>1749</v>
      </c>
      <c r="G82" s="120">
        <v>8135168</v>
      </c>
      <c r="H82" s="119">
        <f>_xlfn.COMPOUNDVALUE(612)</f>
        <v>113</v>
      </c>
      <c r="I82" s="121">
        <v>669899</v>
      </c>
      <c r="J82" s="119">
        <v>115</v>
      </c>
      <c r="K82" s="121">
        <v>27950</v>
      </c>
      <c r="L82" s="119">
        <v>1874</v>
      </c>
      <c r="M82" s="121">
        <v>7493218</v>
      </c>
      <c r="N82" s="14" t="s">
        <v>90</v>
      </c>
    </row>
    <row r="83" spans="1:14" ht="15.75" customHeight="1">
      <c r="A83" s="13" t="s">
        <v>91</v>
      </c>
      <c r="B83" s="119">
        <f>_xlfn.COMPOUNDVALUE(613)</f>
        <v>504</v>
      </c>
      <c r="C83" s="120">
        <v>2796327</v>
      </c>
      <c r="D83" s="119">
        <f>_xlfn.COMPOUNDVALUE(614)</f>
        <v>144</v>
      </c>
      <c r="E83" s="120">
        <v>87408</v>
      </c>
      <c r="F83" s="119">
        <f>_xlfn.COMPOUNDVALUE(615)</f>
        <v>648</v>
      </c>
      <c r="G83" s="120">
        <v>2883735</v>
      </c>
      <c r="H83" s="119">
        <f>_xlfn.COMPOUNDVALUE(616)</f>
        <v>31</v>
      </c>
      <c r="I83" s="121">
        <v>291236</v>
      </c>
      <c r="J83" s="119">
        <v>36</v>
      </c>
      <c r="K83" s="121">
        <v>28174</v>
      </c>
      <c r="L83" s="119">
        <v>687</v>
      </c>
      <c r="M83" s="121">
        <v>2620673</v>
      </c>
      <c r="N83" s="14" t="s">
        <v>91</v>
      </c>
    </row>
    <row r="84" spans="1:14" ht="15.75" customHeight="1">
      <c r="A84" s="13" t="s">
        <v>92</v>
      </c>
      <c r="B84" s="119">
        <f>_xlfn.COMPOUNDVALUE(617)</f>
        <v>918</v>
      </c>
      <c r="C84" s="120">
        <v>4751509</v>
      </c>
      <c r="D84" s="119">
        <f>_xlfn.COMPOUNDVALUE(618)</f>
        <v>295</v>
      </c>
      <c r="E84" s="120">
        <v>155233</v>
      </c>
      <c r="F84" s="119">
        <f>_xlfn.COMPOUNDVALUE(619)</f>
        <v>1213</v>
      </c>
      <c r="G84" s="120">
        <v>4906742</v>
      </c>
      <c r="H84" s="119">
        <f>_xlfn.COMPOUNDVALUE(620)</f>
        <v>51</v>
      </c>
      <c r="I84" s="121">
        <v>651911</v>
      </c>
      <c r="J84" s="119">
        <v>53</v>
      </c>
      <c r="K84" s="121">
        <v>-23736</v>
      </c>
      <c r="L84" s="119">
        <v>1269</v>
      </c>
      <c r="M84" s="121">
        <v>4231095</v>
      </c>
      <c r="N84" s="14" t="s">
        <v>92</v>
      </c>
    </row>
    <row r="85" spans="1:14" ht="15.75" customHeight="1">
      <c r="A85" s="15" t="s">
        <v>163</v>
      </c>
      <c r="B85" s="124">
        <v>48105</v>
      </c>
      <c r="C85" s="125">
        <v>386266847</v>
      </c>
      <c r="D85" s="124">
        <v>15207</v>
      </c>
      <c r="E85" s="125">
        <v>9486157</v>
      </c>
      <c r="F85" s="124">
        <v>63312</v>
      </c>
      <c r="G85" s="125">
        <v>395753004</v>
      </c>
      <c r="H85" s="124">
        <v>6486</v>
      </c>
      <c r="I85" s="126">
        <v>75769192</v>
      </c>
      <c r="J85" s="124">
        <v>4519</v>
      </c>
      <c r="K85" s="126">
        <v>454874</v>
      </c>
      <c r="L85" s="124">
        <v>70332</v>
      </c>
      <c r="M85" s="126">
        <v>320438685</v>
      </c>
      <c r="N85" s="16" t="s">
        <v>123</v>
      </c>
    </row>
    <row r="86" spans="1:14" ht="15.75" customHeight="1">
      <c r="A86" s="23"/>
      <c r="B86" s="129"/>
      <c r="C86" s="130"/>
      <c r="D86" s="129"/>
      <c r="E86" s="130"/>
      <c r="F86" s="131"/>
      <c r="G86" s="130"/>
      <c r="H86" s="131"/>
      <c r="I86" s="130"/>
      <c r="J86" s="131"/>
      <c r="K86" s="130"/>
      <c r="L86" s="131"/>
      <c r="M86" s="130"/>
      <c r="N86" s="24"/>
    </row>
    <row r="87" spans="1:14" ht="15.75" customHeight="1">
      <c r="A87" s="13" t="s">
        <v>94</v>
      </c>
      <c r="B87" s="119">
        <f>_xlfn.COMPOUNDVALUE(621)</f>
        <v>4439</v>
      </c>
      <c r="C87" s="120">
        <v>25523096</v>
      </c>
      <c r="D87" s="119">
        <f>_xlfn.COMPOUNDVALUE(622)</f>
        <v>1637</v>
      </c>
      <c r="E87" s="120">
        <v>980360</v>
      </c>
      <c r="F87" s="119">
        <f>_xlfn.COMPOUNDVALUE(623)</f>
        <v>6076</v>
      </c>
      <c r="G87" s="120">
        <v>26503456</v>
      </c>
      <c r="H87" s="119">
        <f>_xlfn.COMPOUNDVALUE(624)</f>
        <v>565</v>
      </c>
      <c r="I87" s="121">
        <v>4486022</v>
      </c>
      <c r="J87" s="119">
        <v>565</v>
      </c>
      <c r="K87" s="121">
        <v>80489</v>
      </c>
      <c r="L87" s="119">
        <v>6691</v>
      </c>
      <c r="M87" s="121">
        <v>22097923</v>
      </c>
      <c r="N87" s="14" t="s">
        <v>94</v>
      </c>
    </row>
    <row r="88" spans="1:14" ht="15.75" customHeight="1">
      <c r="A88" s="13" t="s">
        <v>95</v>
      </c>
      <c r="B88" s="119">
        <f>_xlfn.COMPOUNDVALUE(625)</f>
        <v>3311</v>
      </c>
      <c r="C88" s="120">
        <v>17620391</v>
      </c>
      <c r="D88" s="119">
        <f>_xlfn.COMPOUNDVALUE(626)</f>
        <v>992</v>
      </c>
      <c r="E88" s="120">
        <v>592481</v>
      </c>
      <c r="F88" s="119">
        <f>_xlfn.COMPOUNDVALUE(627)</f>
        <v>4303</v>
      </c>
      <c r="G88" s="120">
        <v>18212872</v>
      </c>
      <c r="H88" s="119">
        <f>_xlfn.COMPOUNDVALUE(628)</f>
        <v>310</v>
      </c>
      <c r="I88" s="121">
        <v>1909312</v>
      </c>
      <c r="J88" s="119">
        <v>272</v>
      </c>
      <c r="K88" s="121">
        <v>55706</v>
      </c>
      <c r="L88" s="119">
        <v>4642</v>
      </c>
      <c r="M88" s="121">
        <v>16359266</v>
      </c>
      <c r="N88" s="14" t="s">
        <v>95</v>
      </c>
    </row>
    <row r="89" spans="1:14" ht="15.75" customHeight="1">
      <c r="A89" s="13" t="s">
        <v>96</v>
      </c>
      <c r="B89" s="119">
        <f>_xlfn.COMPOUNDVALUE(629)</f>
        <v>1069</v>
      </c>
      <c r="C89" s="120">
        <v>5436097</v>
      </c>
      <c r="D89" s="119">
        <f>_xlfn.COMPOUNDVALUE(630)</f>
        <v>264</v>
      </c>
      <c r="E89" s="120">
        <v>171543</v>
      </c>
      <c r="F89" s="119">
        <f>_xlfn.COMPOUNDVALUE(631)</f>
        <v>1333</v>
      </c>
      <c r="G89" s="120">
        <v>5607640</v>
      </c>
      <c r="H89" s="119">
        <f>_xlfn.COMPOUNDVALUE(632)</f>
        <v>78</v>
      </c>
      <c r="I89" s="121">
        <v>338366</v>
      </c>
      <c r="J89" s="119">
        <v>96</v>
      </c>
      <c r="K89" s="121">
        <v>24499</v>
      </c>
      <c r="L89" s="119">
        <v>1428</v>
      </c>
      <c r="M89" s="121">
        <v>5293773</v>
      </c>
      <c r="N89" s="14" t="s">
        <v>96</v>
      </c>
    </row>
    <row r="90" spans="1:14" ht="15.75" customHeight="1">
      <c r="A90" s="13" t="s">
        <v>97</v>
      </c>
      <c r="B90" s="119">
        <f>_xlfn.COMPOUNDVALUE(633)</f>
        <v>475</v>
      </c>
      <c r="C90" s="120">
        <v>2188552</v>
      </c>
      <c r="D90" s="119">
        <f>_xlfn.COMPOUNDVALUE(634)</f>
        <v>107</v>
      </c>
      <c r="E90" s="120">
        <v>63048</v>
      </c>
      <c r="F90" s="119">
        <f>_xlfn.COMPOUNDVALUE(635)</f>
        <v>582</v>
      </c>
      <c r="G90" s="120">
        <v>2251600</v>
      </c>
      <c r="H90" s="119">
        <f>_xlfn.COMPOUNDVALUE(636)</f>
        <v>32</v>
      </c>
      <c r="I90" s="121">
        <v>32699</v>
      </c>
      <c r="J90" s="119">
        <v>48</v>
      </c>
      <c r="K90" s="121">
        <v>8954</v>
      </c>
      <c r="L90" s="119">
        <v>620</v>
      </c>
      <c r="M90" s="121">
        <v>2227855</v>
      </c>
      <c r="N90" s="14" t="s">
        <v>97</v>
      </c>
    </row>
    <row r="91" spans="1:14" ht="15.75" customHeight="1">
      <c r="A91" s="15" t="s">
        <v>164</v>
      </c>
      <c r="B91" s="124">
        <v>9294</v>
      </c>
      <c r="C91" s="125">
        <v>50768136</v>
      </c>
      <c r="D91" s="124">
        <v>3000</v>
      </c>
      <c r="E91" s="125">
        <v>1807431</v>
      </c>
      <c r="F91" s="124">
        <v>12294</v>
      </c>
      <c r="G91" s="125">
        <v>52575567</v>
      </c>
      <c r="H91" s="124">
        <v>985</v>
      </c>
      <c r="I91" s="126">
        <v>6766399</v>
      </c>
      <c r="J91" s="124">
        <v>981</v>
      </c>
      <c r="K91" s="126">
        <v>169649</v>
      </c>
      <c r="L91" s="124">
        <v>13381</v>
      </c>
      <c r="M91" s="126">
        <v>45978817</v>
      </c>
      <c r="N91" s="16" t="s">
        <v>124</v>
      </c>
    </row>
    <row r="92" spans="1:14" ht="15.75" customHeight="1">
      <c r="A92" s="23"/>
      <c r="B92" s="129"/>
      <c r="C92" s="130"/>
      <c r="D92" s="129"/>
      <c r="E92" s="130"/>
      <c r="F92" s="131"/>
      <c r="G92" s="130"/>
      <c r="H92" s="131"/>
      <c r="I92" s="130"/>
      <c r="J92" s="131"/>
      <c r="K92" s="130"/>
      <c r="L92" s="131"/>
      <c r="M92" s="130"/>
      <c r="N92" s="24"/>
    </row>
    <row r="93" spans="1:14" ht="15.75" customHeight="1">
      <c r="A93" s="11" t="s">
        <v>99</v>
      </c>
      <c r="B93" s="114">
        <f>_xlfn.COMPOUNDVALUE(637)</f>
        <v>3577</v>
      </c>
      <c r="C93" s="115">
        <v>26097937</v>
      </c>
      <c r="D93" s="114">
        <f>_xlfn.COMPOUNDVALUE(638)</f>
        <v>1202</v>
      </c>
      <c r="E93" s="115">
        <v>729604</v>
      </c>
      <c r="F93" s="114">
        <f>_xlfn.COMPOUNDVALUE(639)</f>
        <v>4779</v>
      </c>
      <c r="G93" s="115">
        <v>26827541</v>
      </c>
      <c r="H93" s="114">
        <f>_xlfn.COMPOUNDVALUE(640)</f>
        <v>200</v>
      </c>
      <c r="I93" s="116">
        <v>2946305</v>
      </c>
      <c r="J93" s="114">
        <v>307</v>
      </c>
      <c r="K93" s="116">
        <v>-49884</v>
      </c>
      <c r="L93" s="114">
        <v>4995</v>
      </c>
      <c r="M93" s="116">
        <v>23831352</v>
      </c>
      <c r="N93" s="25" t="s">
        <v>99</v>
      </c>
    </row>
    <row r="94" spans="1:14" ht="15.75" customHeight="1">
      <c r="A94" s="13" t="s">
        <v>100</v>
      </c>
      <c r="B94" s="119">
        <f>_xlfn.COMPOUNDVALUE(641)</f>
        <v>618</v>
      </c>
      <c r="C94" s="120">
        <v>3546826</v>
      </c>
      <c r="D94" s="119">
        <f>_xlfn.COMPOUNDVALUE(642)</f>
        <v>175</v>
      </c>
      <c r="E94" s="120">
        <v>85861</v>
      </c>
      <c r="F94" s="119">
        <f>_xlfn.COMPOUNDVALUE(643)</f>
        <v>793</v>
      </c>
      <c r="G94" s="120">
        <v>3632687</v>
      </c>
      <c r="H94" s="119">
        <f>_xlfn.COMPOUNDVALUE(644)</f>
        <v>39</v>
      </c>
      <c r="I94" s="121">
        <v>264518</v>
      </c>
      <c r="J94" s="119">
        <v>53</v>
      </c>
      <c r="K94" s="121">
        <v>3268</v>
      </c>
      <c r="L94" s="119">
        <v>834</v>
      </c>
      <c r="M94" s="121">
        <v>3371437</v>
      </c>
      <c r="N94" s="14" t="s">
        <v>100</v>
      </c>
    </row>
    <row r="95" spans="1:14" ht="15.75" customHeight="1">
      <c r="A95" s="13" t="s">
        <v>101</v>
      </c>
      <c r="B95" s="119">
        <f>_xlfn.COMPOUNDVALUE(645)</f>
        <v>654</v>
      </c>
      <c r="C95" s="120">
        <v>2847572</v>
      </c>
      <c r="D95" s="119">
        <f>_xlfn.COMPOUNDVALUE(646)</f>
        <v>182</v>
      </c>
      <c r="E95" s="120">
        <v>100428</v>
      </c>
      <c r="F95" s="119">
        <f>_xlfn.COMPOUNDVALUE(647)</f>
        <v>836</v>
      </c>
      <c r="G95" s="120">
        <v>2948000</v>
      </c>
      <c r="H95" s="119">
        <f>_xlfn.COMPOUNDVALUE(648)</f>
        <v>41</v>
      </c>
      <c r="I95" s="121">
        <v>145186</v>
      </c>
      <c r="J95" s="119">
        <v>42</v>
      </c>
      <c r="K95" s="121">
        <v>8204</v>
      </c>
      <c r="L95" s="119">
        <v>882</v>
      </c>
      <c r="M95" s="121">
        <v>2811017</v>
      </c>
      <c r="N95" s="14" t="s">
        <v>101</v>
      </c>
    </row>
    <row r="96" spans="1:14" ht="15.75" customHeight="1">
      <c r="A96" s="13" t="s">
        <v>102</v>
      </c>
      <c r="B96" s="119">
        <f>_xlfn.COMPOUNDVALUE(649)</f>
        <v>995</v>
      </c>
      <c r="C96" s="120">
        <v>4923219</v>
      </c>
      <c r="D96" s="119">
        <f>_xlfn.COMPOUNDVALUE(650)</f>
        <v>399</v>
      </c>
      <c r="E96" s="120">
        <v>258699</v>
      </c>
      <c r="F96" s="119">
        <f>_xlfn.COMPOUNDVALUE(651)</f>
        <v>1394</v>
      </c>
      <c r="G96" s="120">
        <v>5181918</v>
      </c>
      <c r="H96" s="119">
        <f>_xlfn.COMPOUNDVALUE(652)</f>
        <v>56</v>
      </c>
      <c r="I96" s="121">
        <v>227375</v>
      </c>
      <c r="J96" s="119">
        <v>70</v>
      </c>
      <c r="K96" s="121">
        <v>5848</v>
      </c>
      <c r="L96" s="119">
        <v>1454</v>
      </c>
      <c r="M96" s="121">
        <v>4960390</v>
      </c>
      <c r="N96" s="14" t="s">
        <v>102</v>
      </c>
    </row>
    <row r="97" spans="1:14" ht="15.75" customHeight="1">
      <c r="A97" s="13" t="s">
        <v>103</v>
      </c>
      <c r="B97" s="119">
        <f>_xlfn.COMPOUNDVALUE(653)</f>
        <v>552</v>
      </c>
      <c r="C97" s="120">
        <v>2097700</v>
      </c>
      <c r="D97" s="119">
        <f>_xlfn.COMPOUNDVALUE(654)</f>
        <v>170</v>
      </c>
      <c r="E97" s="120">
        <v>100734</v>
      </c>
      <c r="F97" s="119">
        <f>_xlfn.COMPOUNDVALUE(655)</f>
        <v>722</v>
      </c>
      <c r="G97" s="120">
        <v>2198433</v>
      </c>
      <c r="H97" s="119">
        <f>_xlfn.COMPOUNDVALUE(656)</f>
        <v>33</v>
      </c>
      <c r="I97" s="121">
        <v>135757</v>
      </c>
      <c r="J97" s="119">
        <v>65</v>
      </c>
      <c r="K97" s="121">
        <v>7021</v>
      </c>
      <c r="L97" s="119">
        <v>760</v>
      </c>
      <c r="M97" s="121">
        <v>2069697</v>
      </c>
      <c r="N97" s="14" t="s">
        <v>103</v>
      </c>
    </row>
    <row r="98" spans="1:14" ht="15.75" customHeight="1">
      <c r="A98" s="13" t="s">
        <v>104</v>
      </c>
      <c r="B98" s="119">
        <f>_xlfn.COMPOUNDVALUE(657)</f>
        <v>1244</v>
      </c>
      <c r="C98" s="120">
        <v>5957111</v>
      </c>
      <c r="D98" s="119">
        <f>_xlfn.COMPOUNDVALUE(658)</f>
        <v>361</v>
      </c>
      <c r="E98" s="120">
        <v>234448</v>
      </c>
      <c r="F98" s="119">
        <f>_xlfn.COMPOUNDVALUE(659)</f>
        <v>1605</v>
      </c>
      <c r="G98" s="120">
        <v>6191559</v>
      </c>
      <c r="H98" s="119">
        <f>_xlfn.COMPOUNDVALUE(660)</f>
        <v>62</v>
      </c>
      <c r="I98" s="121">
        <v>370911</v>
      </c>
      <c r="J98" s="119">
        <v>128</v>
      </c>
      <c r="K98" s="121">
        <v>27706</v>
      </c>
      <c r="L98" s="119">
        <v>1680</v>
      </c>
      <c r="M98" s="121">
        <v>5848353</v>
      </c>
      <c r="N98" s="14" t="s">
        <v>104</v>
      </c>
    </row>
    <row r="99" spans="1:14" ht="15.75" customHeight="1">
      <c r="A99" s="13" t="s">
        <v>105</v>
      </c>
      <c r="B99" s="119">
        <f>_xlfn.COMPOUNDVALUE(661)</f>
        <v>568</v>
      </c>
      <c r="C99" s="120">
        <v>3934601</v>
      </c>
      <c r="D99" s="119">
        <f>_xlfn.COMPOUNDVALUE(662)</f>
        <v>173</v>
      </c>
      <c r="E99" s="120">
        <v>105599</v>
      </c>
      <c r="F99" s="119">
        <f>_xlfn.COMPOUNDVALUE(663)</f>
        <v>741</v>
      </c>
      <c r="G99" s="120">
        <v>4040200</v>
      </c>
      <c r="H99" s="119">
        <f>_xlfn.COMPOUNDVALUE(664)</f>
        <v>38</v>
      </c>
      <c r="I99" s="121">
        <v>72340</v>
      </c>
      <c r="J99" s="119">
        <v>70</v>
      </c>
      <c r="K99" s="121">
        <v>33070</v>
      </c>
      <c r="L99" s="119">
        <v>783</v>
      </c>
      <c r="M99" s="121">
        <v>4000930</v>
      </c>
      <c r="N99" s="14" t="s">
        <v>105</v>
      </c>
    </row>
    <row r="100" spans="1:14" ht="15.75" customHeight="1">
      <c r="A100" s="15" t="s">
        <v>165</v>
      </c>
      <c r="B100" s="124">
        <v>8208</v>
      </c>
      <c r="C100" s="125">
        <v>49404964</v>
      </c>
      <c r="D100" s="124">
        <v>2662</v>
      </c>
      <c r="E100" s="125">
        <v>1615373</v>
      </c>
      <c r="F100" s="124">
        <v>10870</v>
      </c>
      <c r="G100" s="125">
        <v>51020337</v>
      </c>
      <c r="H100" s="124">
        <v>469</v>
      </c>
      <c r="I100" s="126">
        <v>4162392</v>
      </c>
      <c r="J100" s="124">
        <v>735</v>
      </c>
      <c r="K100" s="126">
        <v>35232</v>
      </c>
      <c r="L100" s="124">
        <v>11388</v>
      </c>
      <c r="M100" s="126">
        <v>46893176</v>
      </c>
      <c r="N100" s="16" t="s">
        <v>125</v>
      </c>
    </row>
    <row r="101" spans="1:14" ht="15.75" customHeight="1" thickBot="1">
      <c r="A101" s="18"/>
      <c r="B101" s="144"/>
      <c r="C101" s="145"/>
      <c r="D101" s="144"/>
      <c r="E101" s="145"/>
      <c r="F101" s="146"/>
      <c r="G101" s="145"/>
      <c r="H101" s="146"/>
      <c r="I101" s="145"/>
      <c r="J101" s="146"/>
      <c r="K101" s="145"/>
      <c r="L101" s="146"/>
      <c r="M101" s="145"/>
      <c r="N101" s="19"/>
    </row>
    <row r="102" spans="1:14" ht="15.75" customHeight="1" thickBot="1" thickTop="1">
      <c r="A102" s="21" t="s">
        <v>166</v>
      </c>
      <c r="B102" s="147">
        <v>219934</v>
      </c>
      <c r="C102" s="148">
        <v>2270134326</v>
      </c>
      <c r="D102" s="147">
        <v>66876</v>
      </c>
      <c r="E102" s="148">
        <v>42308559</v>
      </c>
      <c r="F102" s="147">
        <v>286810</v>
      </c>
      <c r="G102" s="148">
        <v>2312442885</v>
      </c>
      <c r="H102" s="147">
        <v>27560</v>
      </c>
      <c r="I102" s="149">
        <v>585242584</v>
      </c>
      <c r="J102" s="147">
        <v>19331</v>
      </c>
      <c r="K102" s="149">
        <v>4738391</v>
      </c>
      <c r="L102" s="147">
        <v>316492</v>
      </c>
      <c r="M102" s="149">
        <v>1731938692</v>
      </c>
      <c r="N102" s="22" t="s">
        <v>118</v>
      </c>
    </row>
    <row r="103" spans="1:14" ht="13.5">
      <c r="A103" s="193" t="s">
        <v>169</v>
      </c>
      <c r="B103" s="193"/>
      <c r="C103" s="193"/>
      <c r="D103" s="193"/>
      <c r="E103" s="193"/>
      <c r="F103" s="193"/>
      <c r="G103" s="193"/>
      <c r="H103" s="193"/>
      <c r="I103" s="193"/>
      <c r="J103" s="27"/>
      <c r="K103" s="27"/>
      <c r="L103" s="2"/>
      <c r="M103" s="2"/>
      <c r="N103" s="2"/>
    </row>
  </sheetData>
  <sheetProtection/>
  <mergeCells count="11">
    <mergeCell ref="A103:I103"/>
    <mergeCell ref="A2:I2"/>
    <mergeCell ref="A3:A5"/>
    <mergeCell ref="B3:G3"/>
    <mergeCell ref="H3:I4"/>
    <mergeCell ref="N3:N5"/>
    <mergeCell ref="B4:C4"/>
    <mergeCell ref="D4:E4"/>
    <mergeCell ref="F4:G4"/>
    <mergeCell ref="J3:K4"/>
    <mergeCell ref="L3:M4"/>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81" r:id="rId1"/>
  <headerFooter alignWithMargins="0">
    <oddFooter>&amp;R大阪国税局
消費税
(H29)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103"/>
  <sheetViews>
    <sheetView zoomScaleSheetLayoutView="80" workbookViewId="0" topLeftCell="A1">
      <selection activeCell="A1" sqref="A1"/>
    </sheetView>
  </sheetViews>
  <sheetFormatPr defaultColWidth="9.140625" defaultRowHeight="15"/>
  <cols>
    <col min="1" max="1" width="10.421875" style="3" customWidth="1"/>
    <col min="2" max="2" width="9.57421875" style="3" customWidth="1"/>
    <col min="3" max="3" width="12.57421875" style="3" customWidth="1"/>
    <col min="4" max="4" width="9.57421875" style="3" customWidth="1"/>
    <col min="5" max="5" width="12.57421875" style="3" customWidth="1"/>
    <col min="6" max="6" width="9.57421875" style="3" customWidth="1"/>
    <col min="7" max="7" width="12.57421875" style="3" customWidth="1"/>
    <col min="8" max="8" width="9.57421875" style="3" customWidth="1"/>
    <col min="9" max="9" width="12.57421875" style="3" customWidth="1"/>
    <col min="10" max="10" width="9.57421875" style="3" customWidth="1"/>
    <col min="11" max="11" width="12.57421875" style="3" customWidth="1"/>
    <col min="12" max="12" width="9.57421875" style="3" customWidth="1"/>
    <col min="13" max="13" width="12.57421875" style="3" customWidth="1"/>
    <col min="14" max="17" width="9.57421875" style="3" customWidth="1"/>
    <col min="18" max="18" width="10.421875" style="3" customWidth="1"/>
    <col min="19" max="16384" width="9.00390625" style="3" customWidth="1"/>
  </cols>
  <sheetData>
    <row r="1" spans="1:16" ht="13.5">
      <c r="A1" s="1" t="s">
        <v>174</v>
      </c>
      <c r="B1" s="1"/>
      <c r="C1" s="1"/>
      <c r="D1" s="1"/>
      <c r="E1" s="1"/>
      <c r="F1" s="1"/>
      <c r="G1" s="1"/>
      <c r="H1" s="1"/>
      <c r="I1" s="1"/>
      <c r="J1" s="1"/>
      <c r="K1" s="1"/>
      <c r="L1" s="2"/>
      <c r="M1" s="2"/>
      <c r="N1" s="2"/>
      <c r="O1" s="2"/>
      <c r="P1" s="2"/>
    </row>
    <row r="2" spans="1:16" ht="14.25" thickBot="1">
      <c r="A2" s="209" t="s">
        <v>181</v>
      </c>
      <c r="B2" s="209"/>
      <c r="C2" s="209"/>
      <c r="D2" s="209"/>
      <c r="E2" s="209"/>
      <c r="F2" s="209"/>
      <c r="G2" s="209"/>
      <c r="H2" s="209"/>
      <c r="I2" s="209"/>
      <c r="J2" s="27"/>
      <c r="K2" s="27"/>
      <c r="L2" s="2"/>
      <c r="M2" s="2"/>
      <c r="N2" s="2"/>
      <c r="O2" s="2"/>
      <c r="P2" s="2"/>
    </row>
    <row r="3" spans="1:18" ht="19.5" customHeight="1">
      <c r="A3" s="205" t="s">
        <v>1</v>
      </c>
      <c r="B3" s="208" t="s">
        <v>2</v>
      </c>
      <c r="C3" s="208"/>
      <c r="D3" s="208"/>
      <c r="E3" s="208"/>
      <c r="F3" s="208"/>
      <c r="G3" s="208"/>
      <c r="H3" s="208" t="s">
        <v>3</v>
      </c>
      <c r="I3" s="208"/>
      <c r="J3" s="215" t="s">
        <v>4</v>
      </c>
      <c r="K3" s="208"/>
      <c r="L3" s="208" t="s">
        <v>5</v>
      </c>
      <c r="M3" s="208"/>
      <c r="N3" s="216" t="s">
        <v>110</v>
      </c>
      <c r="O3" s="217"/>
      <c r="P3" s="217"/>
      <c r="Q3" s="217"/>
      <c r="R3" s="195" t="s">
        <v>108</v>
      </c>
    </row>
    <row r="4" spans="1:18" ht="17.25" customHeight="1">
      <c r="A4" s="206"/>
      <c r="B4" s="198" t="s">
        <v>7</v>
      </c>
      <c r="C4" s="198"/>
      <c r="D4" s="198" t="s">
        <v>8</v>
      </c>
      <c r="E4" s="198"/>
      <c r="F4" s="198" t="s">
        <v>9</v>
      </c>
      <c r="G4" s="198"/>
      <c r="H4" s="198"/>
      <c r="I4" s="198"/>
      <c r="J4" s="198"/>
      <c r="K4" s="198"/>
      <c r="L4" s="198"/>
      <c r="M4" s="198"/>
      <c r="N4" s="218" t="s">
        <v>111</v>
      </c>
      <c r="O4" s="210" t="s">
        <v>112</v>
      </c>
      <c r="P4" s="212" t="s">
        <v>113</v>
      </c>
      <c r="Q4" s="203" t="s">
        <v>114</v>
      </c>
      <c r="R4" s="196"/>
    </row>
    <row r="5" spans="1:18" ht="28.5" customHeight="1">
      <c r="A5" s="207"/>
      <c r="B5" s="37" t="s">
        <v>10</v>
      </c>
      <c r="C5" s="38" t="s">
        <v>11</v>
      </c>
      <c r="D5" s="37" t="s">
        <v>10</v>
      </c>
      <c r="E5" s="38" t="s">
        <v>11</v>
      </c>
      <c r="F5" s="37" t="s">
        <v>10</v>
      </c>
      <c r="G5" s="38" t="s">
        <v>12</v>
      </c>
      <c r="H5" s="37" t="s">
        <v>10</v>
      </c>
      <c r="I5" s="38" t="s">
        <v>13</v>
      </c>
      <c r="J5" s="37" t="s">
        <v>10</v>
      </c>
      <c r="K5" s="38" t="s">
        <v>14</v>
      </c>
      <c r="L5" s="37" t="s">
        <v>10</v>
      </c>
      <c r="M5" s="31" t="s">
        <v>117</v>
      </c>
      <c r="N5" s="219"/>
      <c r="O5" s="211"/>
      <c r="P5" s="213"/>
      <c r="Q5" s="214"/>
      <c r="R5" s="197"/>
    </row>
    <row r="6" spans="1:18" s="29" customFormat="1" ht="12" customHeight="1">
      <c r="A6" s="5"/>
      <c r="B6" s="6" t="s">
        <v>15</v>
      </c>
      <c r="C6" s="7" t="s">
        <v>16</v>
      </c>
      <c r="D6" s="6" t="s">
        <v>15</v>
      </c>
      <c r="E6" s="7" t="s">
        <v>16</v>
      </c>
      <c r="F6" s="6" t="s">
        <v>15</v>
      </c>
      <c r="G6" s="7" t="s">
        <v>16</v>
      </c>
      <c r="H6" s="6" t="s">
        <v>15</v>
      </c>
      <c r="I6" s="7" t="s">
        <v>16</v>
      </c>
      <c r="J6" s="6" t="s">
        <v>15</v>
      </c>
      <c r="K6" s="7" t="s">
        <v>16</v>
      </c>
      <c r="L6" s="6" t="s">
        <v>172</v>
      </c>
      <c r="M6" s="7" t="s">
        <v>16</v>
      </c>
      <c r="N6" s="6" t="s">
        <v>15</v>
      </c>
      <c r="O6" s="32" t="s">
        <v>15</v>
      </c>
      <c r="P6" s="32" t="s">
        <v>15</v>
      </c>
      <c r="Q6" s="33" t="s">
        <v>15</v>
      </c>
      <c r="R6" s="9"/>
    </row>
    <row r="7" spans="1:18" ht="18.75" customHeight="1">
      <c r="A7" s="11" t="s">
        <v>18</v>
      </c>
      <c r="B7" s="114">
        <f>_xlfn.COMPOUNDVALUE(665)</f>
        <v>3631</v>
      </c>
      <c r="C7" s="115">
        <v>15780540</v>
      </c>
      <c r="D7" s="114">
        <f>_xlfn.COMPOUNDVALUE(666)</f>
        <v>2027</v>
      </c>
      <c r="E7" s="115">
        <v>1054621</v>
      </c>
      <c r="F7" s="114">
        <f>_xlfn.COMPOUNDVALUE(667)</f>
        <v>5658</v>
      </c>
      <c r="G7" s="115">
        <v>16835161</v>
      </c>
      <c r="H7" s="114">
        <f>_xlfn.COMPOUNDVALUE(668)</f>
        <v>303</v>
      </c>
      <c r="I7" s="116">
        <v>6487427</v>
      </c>
      <c r="J7" s="114">
        <v>463</v>
      </c>
      <c r="K7" s="116">
        <v>15971</v>
      </c>
      <c r="L7" s="114">
        <v>6053</v>
      </c>
      <c r="M7" s="116">
        <v>10363705</v>
      </c>
      <c r="N7" s="114">
        <v>6300</v>
      </c>
      <c r="O7" s="117">
        <v>204</v>
      </c>
      <c r="P7" s="117">
        <v>20</v>
      </c>
      <c r="Q7" s="118">
        <v>6524</v>
      </c>
      <c r="R7" s="12" t="s">
        <v>18</v>
      </c>
    </row>
    <row r="8" spans="1:18" ht="18.75" customHeight="1">
      <c r="A8" s="13" t="s">
        <v>19</v>
      </c>
      <c r="B8" s="119">
        <f>_xlfn.COMPOUNDVALUE(669)</f>
        <v>2014</v>
      </c>
      <c r="C8" s="120">
        <v>14571078</v>
      </c>
      <c r="D8" s="119">
        <f>_xlfn.COMPOUNDVALUE(670)</f>
        <v>1106</v>
      </c>
      <c r="E8" s="120">
        <v>534621</v>
      </c>
      <c r="F8" s="119">
        <f>_xlfn.COMPOUNDVALUE(671)</f>
        <v>3120</v>
      </c>
      <c r="G8" s="120">
        <v>15105699</v>
      </c>
      <c r="H8" s="119">
        <f>_xlfn.COMPOUNDVALUE(672)</f>
        <v>167</v>
      </c>
      <c r="I8" s="121">
        <v>2905129</v>
      </c>
      <c r="J8" s="119">
        <v>224</v>
      </c>
      <c r="K8" s="121">
        <v>23337</v>
      </c>
      <c r="L8" s="119">
        <v>3333</v>
      </c>
      <c r="M8" s="121">
        <v>12223906</v>
      </c>
      <c r="N8" s="119">
        <v>3465</v>
      </c>
      <c r="O8" s="122">
        <v>117</v>
      </c>
      <c r="P8" s="122">
        <v>15</v>
      </c>
      <c r="Q8" s="123">
        <v>3597</v>
      </c>
      <c r="R8" s="14" t="s">
        <v>19</v>
      </c>
    </row>
    <row r="9" spans="1:18" ht="18.75" customHeight="1">
      <c r="A9" s="13" t="s">
        <v>20</v>
      </c>
      <c r="B9" s="119">
        <f>_xlfn.COMPOUNDVALUE(673)</f>
        <v>2169</v>
      </c>
      <c r="C9" s="120">
        <v>9553866</v>
      </c>
      <c r="D9" s="119">
        <f>_xlfn.COMPOUNDVALUE(674)</f>
        <v>1157</v>
      </c>
      <c r="E9" s="120">
        <v>563961</v>
      </c>
      <c r="F9" s="119">
        <f>_xlfn.COMPOUNDVALUE(675)</f>
        <v>3326</v>
      </c>
      <c r="G9" s="120">
        <v>10117827</v>
      </c>
      <c r="H9" s="119">
        <f>_xlfn.COMPOUNDVALUE(676)</f>
        <v>129</v>
      </c>
      <c r="I9" s="121">
        <v>349912</v>
      </c>
      <c r="J9" s="119">
        <v>186</v>
      </c>
      <c r="K9" s="121">
        <v>20396</v>
      </c>
      <c r="L9" s="119">
        <v>3507</v>
      </c>
      <c r="M9" s="121">
        <v>9788312</v>
      </c>
      <c r="N9" s="119">
        <v>3707</v>
      </c>
      <c r="O9" s="122">
        <v>101</v>
      </c>
      <c r="P9" s="122">
        <v>10</v>
      </c>
      <c r="Q9" s="123">
        <v>3818</v>
      </c>
      <c r="R9" s="14" t="s">
        <v>20</v>
      </c>
    </row>
    <row r="10" spans="1:18" ht="18.75" customHeight="1">
      <c r="A10" s="13" t="s">
        <v>21</v>
      </c>
      <c r="B10" s="119">
        <f>_xlfn.COMPOUNDVALUE(677)</f>
        <v>2803</v>
      </c>
      <c r="C10" s="120">
        <v>10794883</v>
      </c>
      <c r="D10" s="119">
        <f>_xlfn.COMPOUNDVALUE(678)</f>
        <v>1656</v>
      </c>
      <c r="E10" s="120">
        <v>773500</v>
      </c>
      <c r="F10" s="119">
        <f>_xlfn.COMPOUNDVALUE(679)</f>
        <v>4459</v>
      </c>
      <c r="G10" s="120">
        <v>11568383</v>
      </c>
      <c r="H10" s="119">
        <f>_xlfn.COMPOUNDVALUE(680)</f>
        <v>329</v>
      </c>
      <c r="I10" s="121">
        <v>1604034</v>
      </c>
      <c r="J10" s="119">
        <v>334</v>
      </c>
      <c r="K10" s="121">
        <v>45120</v>
      </c>
      <c r="L10" s="119">
        <v>4881</v>
      </c>
      <c r="M10" s="121">
        <v>10009469</v>
      </c>
      <c r="N10" s="119">
        <v>4604</v>
      </c>
      <c r="O10" s="122">
        <v>246</v>
      </c>
      <c r="P10" s="122">
        <v>21</v>
      </c>
      <c r="Q10" s="123">
        <v>4871</v>
      </c>
      <c r="R10" s="14" t="s">
        <v>21</v>
      </c>
    </row>
    <row r="11" spans="1:18" ht="18.75" customHeight="1">
      <c r="A11" s="13" t="s">
        <v>22</v>
      </c>
      <c r="B11" s="119">
        <f>_xlfn.COMPOUNDVALUE(681)</f>
        <v>3677</v>
      </c>
      <c r="C11" s="120">
        <v>18468293</v>
      </c>
      <c r="D11" s="119">
        <f>_xlfn.COMPOUNDVALUE(682)</f>
        <v>2095</v>
      </c>
      <c r="E11" s="120">
        <v>1120600</v>
      </c>
      <c r="F11" s="119">
        <f>_xlfn.COMPOUNDVALUE(683)</f>
        <v>5772</v>
      </c>
      <c r="G11" s="120">
        <v>19588893</v>
      </c>
      <c r="H11" s="119">
        <f>_xlfn.COMPOUNDVALUE(684)</f>
        <v>298</v>
      </c>
      <c r="I11" s="121">
        <v>2077745</v>
      </c>
      <c r="J11" s="119">
        <v>417</v>
      </c>
      <c r="K11" s="121">
        <v>51780</v>
      </c>
      <c r="L11" s="119">
        <v>6166</v>
      </c>
      <c r="M11" s="121">
        <v>17562928</v>
      </c>
      <c r="N11" s="119">
        <v>6335</v>
      </c>
      <c r="O11" s="122">
        <v>190</v>
      </c>
      <c r="P11" s="122">
        <v>15</v>
      </c>
      <c r="Q11" s="123">
        <v>6540</v>
      </c>
      <c r="R11" s="14" t="s">
        <v>22</v>
      </c>
    </row>
    <row r="12" spans="1:18" ht="18.75" customHeight="1">
      <c r="A12" s="13" t="s">
        <v>23</v>
      </c>
      <c r="B12" s="119">
        <f>_xlfn.COMPOUNDVALUE(685)</f>
        <v>1801</v>
      </c>
      <c r="C12" s="120">
        <v>11739222</v>
      </c>
      <c r="D12" s="119">
        <f>_xlfn.COMPOUNDVALUE(686)</f>
        <v>949</v>
      </c>
      <c r="E12" s="120">
        <v>441678</v>
      </c>
      <c r="F12" s="119">
        <f>_xlfn.COMPOUNDVALUE(687)</f>
        <v>2750</v>
      </c>
      <c r="G12" s="120">
        <v>12180900</v>
      </c>
      <c r="H12" s="119">
        <f>_xlfn.COMPOUNDVALUE(688)</f>
        <v>122</v>
      </c>
      <c r="I12" s="121">
        <v>360902</v>
      </c>
      <c r="J12" s="119">
        <v>177</v>
      </c>
      <c r="K12" s="121">
        <v>46222</v>
      </c>
      <c r="L12" s="119">
        <v>2934</v>
      </c>
      <c r="M12" s="121">
        <v>11866220</v>
      </c>
      <c r="N12" s="119">
        <v>2997</v>
      </c>
      <c r="O12" s="122">
        <v>96</v>
      </c>
      <c r="P12" s="122">
        <v>5</v>
      </c>
      <c r="Q12" s="123">
        <v>3098</v>
      </c>
      <c r="R12" s="14" t="s">
        <v>23</v>
      </c>
    </row>
    <row r="13" spans="1:18" ht="18.75" customHeight="1">
      <c r="A13" s="13" t="s">
        <v>24</v>
      </c>
      <c r="B13" s="119">
        <f>_xlfn.COMPOUNDVALUE(689)</f>
        <v>818</v>
      </c>
      <c r="C13" s="120">
        <v>2692711</v>
      </c>
      <c r="D13" s="119">
        <f>_xlfn.COMPOUNDVALUE(690)</f>
        <v>470</v>
      </c>
      <c r="E13" s="120">
        <v>196369</v>
      </c>
      <c r="F13" s="119">
        <f>_xlfn.COMPOUNDVALUE(691)</f>
        <v>1288</v>
      </c>
      <c r="G13" s="120">
        <v>2889080</v>
      </c>
      <c r="H13" s="119">
        <f>_xlfn.COMPOUNDVALUE(692)</f>
        <v>49</v>
      </c>
      <c r="I13" s="121">
        <v>464300</v>
      </c>
      <c r="J13" s="119">
        <v>80</v>
      </c>
      <c r="K13" s="121">
        <v>9439</v>
      </c>
      <c r="L13" s="119">
        <v>1350</v>
      </c>
      <c r="M13" s="121">
        <v>2434218</v>
      </c>
      <c r="N13" s="119">
        <v>1367</v>
      </c>
      <c r="O13" s="122">
        <v>28</v>
      </c>
      <c r="P13" s="122">
        <v>2</v>
      </c>
      <c r="Q13" s="123">
        <v>1397</v>
      </c>
      <c r="R13" s="14" t="s">
        <v>24</v>
      </c>
    </row>
    <row r="14" spans="1:18" ht="18.75" customHeight="1">
      <c r="A14" s="15" t="s">
        <v>25</v>
      </c>
      <c r="B14" s="124">
        <v>16913</v>
      </c>
      <c r="C14" s="125">
        <v>83600592</v>
      </c>
      <c r="D14" s="124">
        <v>9460</v>
      </c>
      <c r="E14" s="125">
        <v>4685350</v>
      </c>
      <c r="F14" s="124">
        <v>26373</v>
      </c>
      <c r="G14" s="125">
        <v>88285942</v>
      </c>
      <c r="H14" s="124">
        <v>1397</v>
      </c>
      <c r="I14" s="126">
        <v>14249449</v>
      </c>
      <c r="J14" s="124">
        <v>1881</v>
      </c>
      <c r="K14" s="126">
        <v>212265</v>
      </c>
      <c r="L14" s="124">
        <v>28224</v>
      </c>
      <c r="M14" s="126">
        <v>74248758</v>
      </c>
      <c r="N14" s="124">
        <v>28775</v>
      </c>
      <c r="O14" s="127">
        <v>982</v>
      </c>
      <c r="P14" s="127">
        <v>88</v>
      </c>
      <c r="Q14" s="128">
        <v>29845</v>
      </c>
      <c r="R14" s="16" t="s">
        <v>120</v>
      </c>
    </row>
    <row r="15" spans="1:18" ht="18.75" customHeight="1">
      <c r="A15" s="26"/>
      <c r="B15" s="129"/>
      <c r="C15" s="130"/>
      <c r="D15" s="129"/>
      <c r="E15" s="130"/>
      <c r="F15" s="131"/>
      <c r="G15" s="130"/>
      <c r="H15" s="131"/>
      <c r="I15" s="130"/>
      <c r="J15" s="131"/>
      <c r="K15" s="130"/>
      <c r="L15" s="131"/>
      <c r="M15" s="130"/>
      <c r="N15" s="132"/>
      <c r="O15" s="133"/>
      <c r="P15" s="133"/>
      <c r="Q15" s="134"/>
      <c r="R15" s="36" t="s">
        <v>119</v>
      </c>
    </row>
    <row r="16" spans="1:18" ht="18.75" customHeight="1">
      <c r="A16" s="11" t="s">
        <v>26</v>
      </c>
      <c r="B16" s="114">
        <f>_xlfn.COMPOUNDVALUE(693)</f>
        <v>3400</v>
      </c>
      <c r="C16" s="115">
        <v>17265603</v>
      </c>
      <c r="D16" s="114">
        <f>_xlfn.COMPOUNDVALUE(694)</f>
        <v>2216</v>
      </c>
      <c r="E16" s="115">
        <v>1076068</v>
      </c>
      <c r="F16" s="114">
        <f>_xlfn.COMPOUNDVALUE(695)</f>
        <v>5616</v>
      </c>
      <c r="G16" s="115">
        <v>18341671</v>
      </c>
      <c r="H16" s="114">
        <f>_xlfn.COMPOUNDVALUE(696)</f>
        <v>346</v>
      </c>
      <c r="I16" s="116">
        <v>10943361</v>
      </c>
      <c r="J16" s="114">
        <v>329</v>
      </c>
      <c r="K16" s="116">
        <v>-1596</v>
      </c>
      <c r="L16" s="114">
        <v>6023</v>
      </c>
      <c r="M16" s="116">
        <v>7396714</v>
      </c>
      <c r="N16" s="114">
        <v>6464</v>
      </c>
      <c r="O16" s="117">
        <v>187</v>
      </c>
      <c r="P16" s="117">
        <v>20</v>
      </c>
      <c r="Q16" s="135">
        <v>6671</v>
      </c>
      <c r="R16" s="14" t="s">
        <v>26</v>
      </c>
    </row>
    <row r="17" spans="1:18" ht="18.75" customHeight="1">
      <c r="A17" s="11" t="s">
        <v>27</v>
      </c>
      <c r="B17" s="114">
        <f>_xlfn.COMPOUNDVALUE(697)</f>
        <v>2463</v>
      </c>
      <c r="C17" s="115">
        <v>8887268</v>
      </c>
      <c r="D17" s="114">
        <f>_xlfn.COMPOUNDVALUE(698)</f>
        <v>1463</v>
      </c>
      <c r="E17" s="115">
        <v>746060</v>
      </c>
      <c r="F17" s="114">
        <f>_xlfn.COMPOUNDVALUE(699)</f>
        <v>3926</v>
      </c>
      <c r="G17" s="115">
        <v>9633328</v>
      </c>
      <c r="H17" s="114">
        <f>_xlfn.COMPOUNDVALUE(700)</f>
        <v>266</v>
      </c>
      <c r="I17" s="116">
        <v>1395454</v>
      </c>
      <c r="J17" s="114">
        <v>205</v>
      </c>
      <c r="K17" s="116">
        <v>33276</v>
      </c>
      <c r="L17" s="114">
        <v>4238</v>
      </c>
      <c r="M17" s="116">
        <v>8271150</v>
      </c>
      <c r="N17" s="119">
        <v>4434</v>
      </c>
      <c r="O17" s="122">
        <v>160</v>
      </c>
      <c r="P17" s="122">
        <v>8</v>
      </c>
      <c r="Q17" s="123">
        <v>4602</v>
      </c>
      <c r="R17" s="14" t="s">
        <v>27</v>
      </c>
    </row>
    <row r="18" spans="1:18" ht="18.75" customHeight="1">
      <c r="A18" s="11" t="s">
        <v>28</v>
      </c>
      <c r="B18" s="114">
        <f>_xlfn.COMPOUNDVALUE(701)</f>
        <v>3891</v>
      </c>
      <c r="C18" s="115">
        <v>28971221</v>
      </c>
      <c r="D18" s="114">
        <f>_xlfn.COMPOUNDVALUE(702)</f>
        <v>2080</v>
      </c>
      <c r="E18" s="115">
        <v>1176800</v>
      </c>
      <c r="F18" s="114">
        <f>_xlfn.COMPOUNDVALUE(703)</f>
        <v>5971</v>
      </c>
      <c r="G18" s="115">
        <v>30148021</v>
      </c>
      <c r="H18" s="114">
        <f>_xlfn.COMPOUNDVALUE(704)</f>
        <v>395</v>
      </c>
      <c r="I18" s="116">
        <v>10997222</v>
      </c>
      <c r="J18" s="114">
        <v>382</v>
      </c>
      <c r="K18" s="116">
        <v>92758</v>
      </c>
      <c r="L18" s="114">
        <v>6451</v>
      </c>
      <c r="M18" s="116">
        <v>19243556</v>
      </c>
      <c r="N18" s="119">
        <v>7069</v>
      </c>
      <c r="O18" s="122">
        <v>199</v>
      </c>
      <c r="P18" s="122">
        <v>47</v>
      </c>
      <c r="Q18" s="123">
        <v>7315</v>
      </c>
      <c r="R18" s="14" t="s">
        <v>28</v>
      </c>
    </row>
    <row r="19" spans="1:18" ht="18.75" customHeight="1">
      <c r="A19" s="11" t="s">
        <v>29</v>
      </c>
      <c r="B19" s="114">
        <f>_xlfn.COMPOUNDVALUE(705)</f>
        <v>3167</v>
      </c>
      <c r="C19" s="115">
        <v>13430593</v>
      </c>
      <c r="D19" s="114">
        <f>_xlfn.COMPOUNDVALUE(706)</f>
        <v>1747</v>
      </c>
      <c r="E19" s="115">
        <v>855687</v>
      </c>
      <c r="F19" s="114">
        <f>_xlfn.COMPOUNDVALUE(707)</f>
        <v>4914</v>
      </c>
      <c r="G19" s="115">
        <v>14286280</v>
      </c>
      <c r="H19" s="114">
        <f>_xlfn.COMPOUNDVALUE(708)</f>
        <v>253</v>
      </c>
      <c r="I19" s="116">
        <v>555606</v>
      </c>
      <c r="J19" s="114">
        <v>346</v>
      </c>
      <c r="K19" s="116">
        <v>73104</v>
      </c>
      <c r="L19" s="114">
        <v>5231</v>
      </c>
      <c r="M19" s="116">
        <v>13803777</v>
      </c>
      <c r="N19" s="119">
        <v>5689</v>
      </c>
      <c r="O19" s="122">
        <v>128</v>
      </c>
      <c r="P19" s="122">
        <v>18</v>
      </c>
      <c r="Q19" s="123">
        <v>5835</v>
      </c>
      <c r="R19" s="14" t="s">
        <v>29</v>
      </c>
    </row>
    <row r="20" spans="1:18" ht="18.75" customHeight="1">
      <c r="A20" s="11" t="s">
        <v>30</v>
      </c>
      <c r="B20" s="114">
        <f>_xlfn.COMPOUNDVALUE(709)</f>
        <v>5660</v>
      </c>
      <c r="C20" s="115">
        <v>79132226</v>
      </c>
      <c r="D20" s="114">
        <f>_xlfn.COMPOUNDVALUE(710)</f>
        <v>2324</v>
      </c>
      <c r="E20" s="115">
        <v>1313653</v>
      </c>
      <c r="F20" s="114">
        <f>_xlfn.COMPOUNDVALUE(711)</f>
        <v>7984</v>
      </c>
      <c r="G20" s="115">
        <v>80445879</v>
      </c>
      <c r="H20" s="114">
        <f>_xlfn.COMPOUNDVALUE(712)</f>
        <v>593</v>
      </c>
      <c r="I20" s="116">
        <v>14015205</v>
      </c>
      <c r="J20" s="114">
        <v>594</v>
      </c>
      <c r="K20" s="116">
        <v>249323</v>
      </c>
      <c r="L20" s="114">
        <v>8690</v>
      </c>
      <c r="M20" s="116">
        <v>66679998</v>
      </c>
      <c r="N20" s="119">
        <v>8962</v>
      </c>
      <c r="O20" s="122">
        <v>257</v>
      </c>
      <c r="P20" s="122">
        <v>74</v>
      </c>
      <c r="Q20" s="123">
        <v>9293</v>
      </c>
      <c r="R20" s="14" t="s">
        <v>30</v>
      </c>
    </row>
    <row r="21" spans="1:18" ht="18.75" customHeight="1">
      <c r="A21" s="11" t="s">
        <v>31</v>
      </c>
      <c r="B21" s="114">
        <f>_xlfn.COMPOUNDVALUE(713)</f>
        <v>6053</v>
      </c>
      <c r="C21" s="115">
        <v>24464657</v>
      </c>
      <c r="D21" s="114">
        <f>_xlfn.COMPOUNDVALUE(714)</f>
        <v>3317</v>
      </c>
      <c r="E21" s="115">
        <v>1630887</v>
      </c>
      <c r="F21" s="114">
        <f>_xlfn.COMPOUNDVALUE(715)</f>
        <v>9370</v>
      </c>
      <c r="G21" s="115">
        <v>26095544</v>
      </c>
      <c r="H21" s="114">
        <f>_xlfn.COMPOUNDVALUE(716)</f>
        <v>487</v>
      </c>
      <c r="I21" s="116">
        <v>59439624</v>
      </c>
      <c r="J21" s="114">
        <v>687</v>
      </c>
      <c r="K21" s="116">
        <v>178442</v>
      </c>
      <c r="L21" s="114">
        <v>10060</v>
      </c>
      <c r="M21" s="116">
        <v>-33165639</v>
      </c>
      <c r="N21" s="119">
        <v>9929</v>
      </c>
      <c r="O21" s="122">
        <v>253</v>
      </c>
      <c r="P21" s="122">
        <v>41</v>
      </c>
      <c r="Q21" s="123">
        <v>10223</v>
      </c>
      <c r="R21" s="14" t="s">
        <v>31</v>
      </c>
    </row>
    <row r="22" spans="1:18" ht="18.75" customHeight="1">
      <c r="A22" s="13" t="s">
        <v>32</v>
      </c>
      <c r="B22" s="119">
        <f>_xlfn.COMPOUNDVALUE(717)</f>
        <v>3797</v>
      </c>
      <c r="C22" s="120">
        <v>23202812</v>
      </c>
      <c r="D22" s="119">
        <f>_xlfn.COMPOUNDVALUE(718)</f>
        <v>1864</v>
      </c>
      <c r="E22" s="120">
        <v>998534</v>
      </c>
      <c r="F22" s="119">
        <f>_xlfn.COMPOUNDVALUE(719)</f>
        <v>5661</v>
      </c>
      <c r="G22" s="120">
        <v>24201346</v>
      </c>
      <c r="H22" s="119">
        <f>_xlfn.COMPOUNDVALUE(720)</f>
        <v>320</v>
      </c>
      <c r="I22" s="121">
        <v>11341784</v>
      </c>
      <c r="J22" s="119">
        <v>299</v>
      </c>
      <c r="K22" s="121">
        <v>12174</v>
      </c>
      <c r="L22" s="119">
        <v>6055</v>
      </c>
      <c r="M22" s="121">
        <v>12871735</v>
      </c>
      <c r="N22" s="119">
        <v>6903</v>
      </c>
      <c r="O22" s="122">
        <v>187</v>
      </c>
      <c r="P22" s="122">
        <v>16</v>
      </c>
      <c r="Q22" s="123">
        <v>7106</v>
      </c>
      <c r="R22" s="14" t="s">
        <v>32</v>
      </c>
    </row>
    <row r="23" spans="1:18" ht="18.75" customHeight="1">
      <c r="A23" s="13" t="s">
        <v>33</v>
      </c>
      <c r="B23" s="119">
        <f>_xlfn.COMPOUNDVALUE(721)</f>
        <v>1449</v>
      </c>
      <c r="C23" s="120">
        <v>7791593</v>
      </c>
      <c r="D23" s="119">
        <f>_xlfn.COMPOUNDVALUE(722)</f>
        <v>818</v>
      </c>
      <c r="E23" s="120">
        <v>379395</v>
      </c>
      <c r="F23" s="119">
        <f>_xlfn.COMPOUNDVALUE(723)</f>
        <v>2267</v>
      </c>
      <c r="G23" s="120">
        <v>8170988</v>
      </c>
      <c r="H23" s="119">
        <f>_xlfn.COMPOUNDVALUE(724)</f>
        <v>67</v>
      </c>
      <c r="I23" s="121">
        <v>285710</v>
      </c>
      <c r="J23" s="119">
        <v>209</v>
      </c>
      <c r="K23" s="121">
        <v>37534</v>
      </c>
      <c r="L23" s="119">
        <v>2382</v>
      </c>
      <c r="M23" s="121">
        <v>7922813</v>
      </c>
      <c r="N23" s="119">
        <v>2426</v>
      </c>
      <c r="O23" s="122">
        <v>61</v>
      </c>
      <c r="P23" s="122">
        <v>5</v>
      </c>
      <c r="Q23" s="123">
        <v>2492</v>
      </c>
      <c r="R23" s="14" t="s">
        <v>33</v>
      </c>
    </row>
    <row r="24" spans="1:18" ht="18.75" customHeight="1">
      <c r="A24" s="13" t="s">
        <v>34</v>
      </c>
      <c r="B24" s="119">
        <f>_xlfn.COMPOUNDVALUE(725)</f>
        <v>1171</v>
      </c>
      <c r="C24" s="120">
        <v>3428550</v>
      </c>
      <c r="D24" s="119">
        <f>_xlfn.COMPOUNDVALUE(726)</f>
        <v>575</v>
      </c>
      <c r="E24" s="120">
        <v>271980</v>
      </c>
      <c r="F24" s="119">
        <f>_xlfn.COMPOUNDVALUE(727)</f>
        <v>1746</v>
      </c>
      <c r="G24" s="120">
        <v>3700529</v>
      </c>
      <c r="H24" s="119">
        <f>_xlfn.COMPOUNDVALUE(728)</f>
        <v>67</v>
      </c>
      <c r="I24" s="121">
        <v>132730</v>
      </c>
      <c r="J24" s="119">
        <v>176</v>
      </c>
      <c r="K24" s="121">
        <v>40143</v>
      </c>
      <c r="L24" s="119">
        <v>1872</v>
      </c>
      <c r="M24" s="121">
        <v>3607943</v>
      </c>
      <c r="N24" s="119">
        <v>1869</v>
      </c>
      <c r="O24" s="122">
        <v>44</v>
      </c>
      <c r="P24" s="122">
        <v>3</v>
      </c>
      <c r="Q24" s="123">
        <v>1916</v>
      </c>
      <c r="R24" s="14" t="s">
        <v>34</v>
      </c>
    </row>
    <row r="25" spans="1:18" ht="18.75" customHeight="1">
      <c r="A25" s="13" t="s">
        <v>35</v>
      </c>
      <c r="B25" s="119">
        <f>_xlfn.COMPOUNDVALUE(729)</f>
        <v>6581</v>
      </c>
      <c r="C25" s="120">
        <v>27510547</v>
      </c>
      <c r="D25" s="119">
        <f>_xlfn.COMPOUNDVALUE(730)</f>
        <v>3330</v>
      </c>
      <c r="E25" s="120">
        <v>1623350</v>
      </c>
      <c r="F25" s="119">
        <f>_xlfn.COMPOUNDVALUE(731)</f>
        <v>9911</v>
      </c>
      <c r="G25" s="120">
        <v>29133897</v>
      </c>
      <c r="H25" s="119">
        <f>_xlfn.COMPOUNDVALUE(732)</f>
        <v>641</v>
      </c>
      <c r="I25" s="121">
        <v>1494394</v>
      </c>
      <c r="J25" s="119">
        <v>705</v>
      </c>
      <c r="K25" s="121">
        <v>135241</v>
      </c>
      <c r="L25" s="119">
        <v>10713</v>
      </c>
      <c r="M25" s="121">
        <v>27774743</v>
      </c>
      <c r="N25" s="119">
        <v>10925</v>
      </c>
      <c r="O25" s="122">
        <v>364</v>
      </c>
      <c r="P25" s="122">
        <v>29</v>
      </c>
      <c r="Q25" s="123">
        <v>11318</v>
      </c>
      <c r="R25" s="14" t="s">
        <v>35</v>
      </c>
    </row>
    <row r="26" spans="1:18" ht="18.75" customHeight="1">
      <c r="A26" s="13" t="s">
        <v>36</v>
      </c>
      <c r="B26" s="119">
        <f>_xlfn.COMPOUNDVALUE(733)</f>
        <v>685</v>
      </c>
      <c r="C26" s="120">
        <v>1885694</v>
      </c>
      <c r="D26" s="119">
        <f>_xlfn.COMPOUNDVALUE(734)</f>
        <v>405</v>
      </c>
      <c r="E26" s="120">
        <v>154733</v>
      </c>
      <c r="F26" s="119">
        <f>_xlfn.COMPOUNDVALUE(735)</f>
        <v>1090</v>
      </c>
      <c r="G26" s="120">
        <v>2040427</v>
      </c>
      <c r="H26" s="119">
        <f>_xlfn.COMPOUNDVALUE(736)</f>
        <v>30</v>
      </c>
      <c r="I26" s="121">
        <v>202242</v>
      </c>
      <c r="J26" s="119">
        <v>71</v>
      </c>
      <c r="K26" s="121">
        <v>-18091</v>
      </c>
      <c r="L26" s="119">
        <v>1135</v>
      </c>
      <c r="M26" s="121">
        <v>1820094</v>
      </c>
      <c r="N26" s="119">
        <v>1069</v>
      </c>
      <c r="O26" s="122">
        <v>26</v>
      </c>
      <c r="P26" s="122">
        <v>3</v>
      </c>
      <c r="Q26" s="123">
        <v>1098</v>
      </c>
      <c r="R26" s="14" t="s">
        <v>36</v>
      </c>
    </row>
    <row r="27" spans="1:18" ht="18.75" customHeight="1">
      <c r="A27" s="13" t="s">
        <v>37</v>
      </c>
      <c r="B27" s="119">
        <f>_xlfn.COMPOUNDVALUE(737)</f>
        <v>1782</v>
      </c>
      <c r="C27" s="120">
        <v>4821605</v>
      </c>
      <c r="D27" s="119">
        <f>_xlfn.COMPOUNDVALUE(738)</f>
        <v>864</v>
      </c>
      <c r="E27" s="120">
        <v>387971</v>
      </c>
      <c r="F27" s="119">
        <f>_xlfn.COMPOUNDVALUE(739)</f>
        <v>2646</v>
      </c>
      <c r="G27" s="120">
        <v>5209576</v>
      </c>
      <c r="H27" s="119">
        <f>_xlfn.COMPOUNDVALUE(740)</f>
        <v>118</v>
      </c>
      <c r="I27" s="121">
        <v>425853</v>
      </c>
      <c r="J27" s="119">
        <v>200</v>
      </c>
      <c r="K27" s="121">
        <v>28665</v>
      </c>
      <c r="L27" s="119">
        <v>2826</v>
      </c>
      <c r="M27" s="121">
        <v>4812388</v>
      </c>
      <c r="N27" s="119">
        <v>2911</v>
      </c>
      <c r="O27" s="122">
        <v>84</v>
      </c>
      <c r="P27" s="122">
        <v>3</v>
      </c>
      <c r="Q27" s="123">
        <v>2998</v>
      </c>
      <c r="R27" s="14" t="s">
        <v>37</v>
      </c>
    </row>
    <row r="28" spans="1:18" ht="18.75" customHeight="1">
      <c r="A28" s="13" t="s">
        <v>38</v>
      </c>
      <c r="B28" s="119">
        <f>_xlfn.COMPOUNDVALUE(741)</f>
        <v>955</v>
      </c>
      <c r="C28" s="120">
        <v>2474997</v>
      </c>
      <c r="D28" s="119">
        <f>_xlfn.COMPOUNDVALUE(742)</f>
        <v>488</v>
      </c>
      <c r="E28" s="120">
        <v>218594</v>
      </c>
      <c r="F28" s="119">
        <f>_xlfn.COMPOUNDVALUE(743)</f>
        <v>1443</v>
      </c>
      <c r="G28" s="120">
        <v>2693591</v>
      </c>
      <c r="H28" s="119">
        <f>_xlfn.COMPOUNDVALUE(744)</f>
        <v>41</v>
      </c>
      <c r="I28" s="121">
        <v>375594</v>
      </c>
      <c r="J28" s="119">
        <v>163</v>
      </c>
      <c r="K28" s="121">
        <v>26084</v>
      </c>
      <c r="L28" s="119">
        <v>1516</v>
      </c>
      <c r="M28" s="121">
        <v>2344081</v>
      </c>
      <c r="N28" s="119">
        <v>1455</v>
      </c>
      <c r="O28" s="122">
        <v>61</v>
      </c>
      <c r="P28" s="122">
        <v>0</v>
      </c>
      <c r="Q28" s="123">
        <v>1516</v>
      </c>
      <c r="R28" s="14" t="s">
        <v>38</v>
      </c>
    </row>
    <row r="29" spans="1:18" ht="18.75" customHeight="1">
      <c r="A29" s="15" t="s">
        <v>39</v>
      </c>
      <c r="B29" s="124">
        <v>41054</v>
      </c>
      <c r="C29" s="125">
        <v>243267365</v>
      </c>
      <c r="D29" s="124">
        <v>21491</v>
      </c>
      <c r="E29" s="125">
        <v>10833710</v>
      </c>
      <c r="F29" s="124">
        <v>62545</v>
      </c>
      <c r="G29" s="125">
        <v>254101075</v>
      </c>
      <c r="H29" s="124">
        <v>3624</v>
      </c>
      <c r="I29" s="126">
        <v>111604779</v>
      </c>
      <c r="J29" s="124">
        <v>4366</v>
      </c>
      <c r="K29" s="126">
        <v>887056</v>
      </c>
      <c r="L29" s="124">
        <v>67192</v>
      </c>
      <c r="M29" s="126">
        <v>143383353</v>
      </c>
      <c r="N29" s="124">
        <v>70105</v>
      </c>
      <c r="O29" s="127">
        <v>2011</v>
      </c>
      <c r="P29" s="127">
        <v>267</v>
      </c>
      <c r="Q29" s="128">
        <v>72383</v>
      </c>
      <c r="R29" s="16" t="s">
        <v>121</v>
      </c>
    </row>
    <row r="30" spans="1:18" ht="18.75" customHeight="1">
      <c r="A30" s="23"/>
      <c r="B30" s="129"/>
      <c r="C30" s="130"/>
      <c r="D30" s="129"/>
      <c r="E30" s="130"/>
      <c r="F30" s="131"/>
      <c r="G30" s="130"/>
      <c r="H30" s="131"/>
      <c r="I30" s="130"/>
      <c r="J30" s="131"/>
      <c r="K30" s="130"/>
      <c r="L30" s="131"/>
      <c r="M30" s="130"/>
      <c r="N30" s="132"/>
      <c r="O30" s="133"/>
      <c r="P30" s="133"/>
      <c r="Q30" s="134"/>
      <c r="R30" s="36" t="s">
        <v>119</v>
      </c>
    </row>
    <row r="31" spans="1:18" ht="18.75" customHeight="1">
      <c r="A31" s="11" t="s">
        <v>40</v>
      </c>
      <c r="B31" s="114">
        <f>_xlfn.COMPOUNDVALUE(745)</f>
        <v>3493</v>
      </c>
      <c r="C31" s="115">
        <v>37193933</v>
      </c>
      <c r="D31" s="114">
        <f>_xlfn.COMPOUNDVALUE(746)</f>
        <v>1207</v>
      </c>
      <c r="E31" s="115">
        <v>769269</v>
      </c>
      <c r="F31" s="114">
        <f>_xlfn.COMPOUNDVALUE(747)</f>
        <v>4700</v>
      </c>
      <c r="G31" s="115">
        <v>37963203</v>
      </c>
      <c r="H31" s="114">
        <f>_xlfn.COMPOUNDVALUE(748)</f>
        <v>491</v>
      </c>
      <c r="I31" s="116">
        <v>2488277</v>
      </c>
      <c r="J31" s="114">
        <v>414</v>
      </c>
      <c r="K31" s="116">
        <v>205077</v>
      </c>
      <c r="L31" s="114">
        <v>5279</v>
      </c>
      <c r="M31" s="116">
        <v>35680003</v>
      </c>
      <c r="N31" s="114">
        <v>5260</v>
      </c>
      <c r="O31" s="117">
        <v>217</v>
      </c>
      <c r="P31" s="117">
        <v>23</v>
      </c>
      <c r="Q31" s="135">
        <v>5500</v>
      </c>
      <c r="R31" s="14" t="s">
        <v>40</v>
      </c>
    </row>
    <row r="32" spans="1:18" ht="18.75" customHeight="1">
      <c r="A32" s="11" t="s">
        <v>41</v>
      </c>
      <c r="B32" s="114">
        <f>_xlfn.COMPOUNDVALUE(749)</f>
        <v>6588</v>
      </c>
      <c r="C32" s="115">
        <v>104610537</v>
      </c>
      <c r="D32" s="114">
        <f>_xlfn.COMPOUNDVALUE(750)</f>
        <v>1866</v>
      </c>
      <c r="E32" s="115">
        <v>1227821</v>
      </c>
      <c r="F32" s="114">
        <f>_xlfn.COMPOUNDVALUE(751)</f>
        <v>8454</v>
      </c>
      <c r="G32" s="115">
        <v>105838358</v>
      </c>
      <c r="H32" s="114">
        <f>_xlfn.COMPOUNDVALUE(752)</f>
        <v>1235</v>
      </c>
      <c r="I32" s="116">
        <v>28127725</v>
      </c>
      <c r="J32" s="114">
        <v>587</v>
      </c>
      <c r="K32" s="116">
        <v>550567</v>
      </c>
      <c r="L32" s="114">
        <v>9796</v>
      </c>
      <c r="M32" s="116">
        <v>78261201</v>
      </c>
      <c r="N32" s="119">
        <v>9864</v>
      </c>
      <c r="O32" s="122">
        <v>377</v>
      </c>
      <c r="P32" s="122">
        <v>97</v>
      </c>
      <c r="Q32" s="123">
        <v>10338</v>
      </c>
      <c r="R32" s="14" t="s">
        <v>41</v>
      </c>
    </row>
    <row r="33" spans="1:18" ht="18.75" customHeight="1">
      <c r="A33" s="11" t="s">
        <v>42</v>
      </c>
      <c r="B33" s="114">
        <f>_xlfn.COMPOUNDVALUE(753)</f>
        <v>3010</v>
      </c>
      <c r="C33" s="115">
        <v>21866485</v>
      </c>
      <c r="D33" s="114">
        <f>_xlfn.COMPOUNDVALUE(754)</f>
        <v>1187</v>
      </c>
      <c r="E33" s="115">
        <v>578310</v>
      </c>
      <c r="F33" s="114">
        <f>_xlfn.COMPOUNDVALUE(755)</f>
        <v>4197</v>
      </c>
      <c r="G33" s="115">
        <v>22444795</v>
      </c>
      <c r="H33" s="114">
        <f>_xlfn.COMPOUNDVALUE(756)</f>
        <v>270</v>
      </c>
      <c r="I33" s="116">
        <v>1307298</v>
      </c>
      <c r="J33" s="114">
        <v>309</v>
      </c>
      <c r="K33" s="116">
        <v>82736</v>
      </c>
      <c r="L33" s="114">
        <v>4559</v>
      </c>
      <c r="M33" s="116">
        <v>21220233</v>
      </c>
      <c r="N33" s="119">
        <v>4728</v>
      </c>
      <c r="O33" s="122">
        <v>122</v>
      </c>
      <c r="P33" s="122">
        <v>14</v>
      </c>
      <c r="Q33" s="123">
        <v>4864</v>
      </c>
      <c r="R33" s="14" t="s">
        <v>42</v>
      </c>
    </row>
    <row r="34" spans="1:18" ht="18.75" customHeight="1">
      <c r="A34" s="11" t="s">
        <v>43</v>
      </c>
      <c r="B34" s="114">
        <f>_xlfn.COMPOUNDVALUE(757)</f>
        <v>2552</v>
      </c>
      <c r="C34" s="115">
        <v>27301105</v>
      </c>
      <c r="D34" s="114">
        <f>_xlfn.COMPOUNDVALUE(758)</f>
        <v>1121</v>
      </c>
      <c r="E34" s="115">
        <v>682914</v>
      </c>
      <c r="F34" s="114">
        <f>_xlfn.COMPOUNDVALUE(759)</f>
        <v>3673</v>
      </c>
      <c r="G34" s="115">
        <v>27984019</v>
      </c>
      <c r="H34" s="114">
        <f>_xlfn.COMPOUNDVALUE(760)</f>
        <v>375</v>
      </c>
      <c r="I34" s="116">
        <v>1352788</v>
      </c>
      <c r="J34" s="114">
        <v>249</v>
      </c>
      <c r="K34" s="116">
        <v>131889</v>
      </c>
      <c r="L34" s="114">
        <v>4093</v>
      </c>
      <c r="M34" s="116">
        <v>26763120</v>
      </c>
      <c r="N34" s="119">
        <v>4267</v>
      </c>
      <c r="O34" s="122">
        <v>206</v>
      </c>
      <c r="P34" s="122">
        <v>22</v>
      </c>
      <c r="Q34" s="123">
        <v>4495</v>
      </c>
      <c r="R34" s="14" t="s">
        <v>43</v>
      </c>
    </row>
    <row r="35" spans="1:18" ht="18.75" customHeight="1">
      <c r="A35" s="11" t="s">
        <v>44</v>
      </c>
      <c r="B35" s="114">
        <f>_xlfn.COMPOUNDVALUE(761)</f>
        <v>2843</v>
      </c>
      <c r="C35" s="115">
        <v>28319923</v>
      </c>
      <c r="D35" s="114">
        <f>_xlfn.COMPOUNDVALUE(762)</f>
        <v>801</v>
      </c>
      <c r="E35" s="115">
        <v>494039</v>
      </c>
      <c r="F35" s="114">
        <f>_xlfn.COMPOUNDVALUE(763)</f>
        <v>3644</v>
      </c>
      <c r="G35" s="115">
        <v>28813963</v>
      </c>
      <c r="H35" s="114">
        <f>_xlfn.COMPOUNDVALUE(764)</f>
        <v>561</v>
      </c>
      <c r="I35" s="116">
        <v>21665174</v>
      </c>
      <c r="J35" s="114">
        <v>352</v>
      </c>
      <c r="K35" s="116">
        <v>137543</v>
      </c>
      <c r="L35" s="114">
        <v>4267</v>
      </c>
      <c r="M35" s="116">
        <v>7286332</v>
      </c>
      <c r="N35" s="119">
        <v>4457</v>
      </c>
      <c r="O35" s="122">
        <v>238</v>
      </c>
      <c r="P35" s="122">
        <v>42</v>
      </c>
      <c r="Q35" s="123">
        <v>4737</v>
      </c>
      <c r="R35" s="14" t="s">
        <v>44</v>
      </c>
    </row>
    <row r="36" spans="1:18" ht="18.75" customHeight="1">
      <c r="A36" s="11" t="s">
        <v>45</v>
      </c>
      <c r="B36" s="114">
        <f>_xlfn.COMPOUNDVALUE(765)</f>
        <v>1882</v>
      </c>
      <c r="C36" s="115">
        <v>18749655</v>
      </c>
      <c r="D36" s="114">
        <f>_xlfn.COMPOUNDVALUE(766)</f>
        <v>755</v>
      </c>
      <c r="E36" s="115">
        <v>369857</v>
      </c>
      <c r="F36" s="114">
        <f>_xlfn.COMPOUNDVALUE(767)</f>
        <v>2637</v>
      </c>
      <c r="G36" s="115">
        <v>19119512</v>
      </c>
      <c r="H36" s="114">
        <f>_xlfn.COMPOUNDVALUE(768)</f>
        <v>208</v>
      </c>
      <c r="I36" s="116">
        <v>3833678</v>
      </c>
      <c r="J36" s="114">
        <v>160</v>
      </c>
      <c r="K36" s="116">
        <v>23639</v>
      </c>
      <c r="L36" s="114">
        <v>2883</v>
      </c>
      <c r="M36" s="116">
        <v>15309474</v>
      </c>
      <c r="N36" s="119">
        <v>2882</v>
      </c>
      <c r="O36" s="122">
        <v>79</v>
      </c>
      <c r="P36" s="122">
        <v>7</v>
      </c>
      <c r="Q36" s="123">
        <v>2968</v>
      </c>
      <c r="R36" s="14" t="s">
        <v>45</v>
      </c>
    </row>
    <row r="37" spans="1:18" ht="18.75" customHeight="1">
      <c r="A37" s="11" t="s">
        <v>46</v>
      </c>
      <c r="B37" s="114">
        <f>_xlfn.COMPOUNDVALUE(769)</f>
        <v>2039</v>
      </c>
      <c r="C37" s="115">
        <v>15227361</v>
      </c>
      <c r="D37" s="114">
        <f>_xlfn.COMPOUNDVALUE(770)</f>
        <v>1009</v>
      </c>
      <c r="E37" s="115">
        <v>494423</v>
      </c>
      <c r="F37" s="114">
        <f>_xlfn.COMPOUNDVALUE(771)</f>
        <v>3048</v>
      </c>
      <c r="G37" s="115">
        <v>15721784</v>
      </c>
      <c r="H37" s="114">
        <f>_xlfn.COMPOUNDVALUE(772)</f>
        <v>229</v>
      </c>
      <c r="I37" s="116">
        <v>852830</v>
      </c>
      <c r="J37" s="114">
        <v>203</v>
      </c>
      <c r="K37" s="116">
        <v>21766</v>
      </c>
      <c r="L37" s="114">
        <v>3308</v>
      </c>
      <c r="M37" s="116">
        <v>14890721</v>
      </c>
      <c r="N37" s="119">
        <v>3523</v>
      </c>
      <c r="O37" s="122">
        <v>104</v>
      </c>
      <c r="P37" s="122">
        <v>9</v>
      </c>
      <c r="Q37" s="123">
        <v>3636</v>
      </c>
      <c r="R37" s="14" t="s">
        <v>46</v>
      </c>
    </row>
    <row r="38" spans="1:18" ht="18.75" customHeight="1">
      <c r="A38" s="11" t="s">
        <v>47</v>
      </c>
      <c r="B38" s="114">
        <f>_xlfn.COMPOUNDVALUE(773)</f>
        <v>2683</v>
      </c>
      <c r="C38" s="115">
        <v>14048208</v>
      </c>
      <c r="D38" s="114">
        <f>_xlfn.COMPOUNDVALUE(774)</f>
        <v>1481</v>
      </c>
      <c r="E38" s="115">
        <v>702563</v>
      </c>
      <c r="F38" s="114">
        <f>_xlfn.COMPOUNDVALUE(775)</f>
        <v>4164</v>
      </c>
      <c r="G38" s="115">
        <v>14750771</v>
      </c>
      <c r="H38" s="114">
        <f>_xlfn.COMPOUNDVALUE(776)</f>
        <v>298</v>
      </c>
      <c r="I38" s="116">
        <v>527677</v>
      </c>
      <c r="J38" s="114">
        <v>357</v>
      </c>
      <c r="K38" s="116">
        <v>137437</v>
      </c>
      <c r="L38" s="114">
        <v>4585</v>
      </c>
      <c r="M38" s="116">
        <v>14360530</v>
      </c>
      <c r="N38" s="119">
        <v>4757</v>
      </c>
      <c r="O38" s="122">
        <v>158</v>
      </c>
      <c r="P38" s="122">
        <v>10</v>
      </c>
      <c r="Q38" s="123">
        <v>4925</v>
      </c>
      <c r="R38" s="14" t="s">
        <v>47</v>
      </c>
    </row>
    <row r="39" spans="1:18" ht="18.75" customHeight="1">
      <c r="A39" s="11" t="s">
        <v>48</v>
      </c>
      <c r="B39" s="114">
        <f>_xlfn.COMPOUNDVALUE(777)</f>
        <v>3179</v>
      </c>
      <c r="C39" s="115">
        <v>28262439</v>
      </c>
      <c r="D39" s="114">
        <f>_xlfn.COMPOUNDVALUE(778)</f>
        <v>1498</v>
      </c>
      <c r="E39" s="115">
        <v>791191</v>
      </c>
      <c r="F39" s="114">
        <f>_xlfn.COMPOUNDVALUE(779)</f>
        <v>4677</v>
      </c>
      <c r="G39" s="115">
        <v>29053631</v>
      </c>
      <c r="H39" s="114">
        <f>_xlfn.COMPOUNDVALUE(780)</f>
        <v>331</v>
      </c>
      <c r="I39" s="116">
        <v>911367</v>
      </c>
      <c r="J39" s="114">
        <v>375</v>
      </c>
      <c r="K39" s="116">
        <v>170839</v>
      </c>
      <c r="L39" s="114">
        <v>5133</v>
      </c>
      <c r="M39" s="116">
        <v>28313103</v>
      </c>
      <c r="N39" s="114">
        <v>5843</v>
      </c>
      <c r="O39" s="117">
        <v>168</v>
      </c>
      <c r="P39" s="117">
        <v>29</v>
      </c>
      <c r="Q39" s="135">
        <v>6040</v>
      </c>
      <c r="R39" s="12" t="s">
        <v>48</v>
      </c>
    </row>
    <row r="40" spans="1:18" ht="18.75" customHeight="1">
      <c r="A40" s="11" t="s">
        <v>49</v>
      </c>
      <c r="B40" s="114">
        <f>_xlfn.COMPOUNDVALUE(781)</f>
        <v>3929</v>
      </c>
      <c r="C40" s="115">
        <v>22747068</v>
      </c>
      <c r="D40" s="114">
        <f>_xlfn.COMPOUNDVALUE(782)</f>
        <v>1858</v>
      </c>
      <c r="E40" s="115">
        <v>990734</v>
      </c>
      <c r="F40" s="114">
        <f>_xlfn.COMPOUNDVALUE(783)</f>
        <v>5787</v>
      </c>
      <c r="G40" s="115">
        <v>23737802</v>
      </c>
      <c r="H40" s="114">
        <f>_xlfn.COMPOUNDVALUE(784)</f>
        <v>327</v>
      </c>
      <c r="I40" s="116">
        <v>1736799</v>
      </c>
      <c r="J40" s="114">
        <v>413</v>
      </c>
      <c r="K40" s="116">
        <v>133765</v>
      </c>
      <c r="L40" s="114">
        <v>6258</v>
      </c>
      <c r="M40" s="116">
        <v>22134768</v>
      </c>
      <c r="N40" s="114">
        <v>6551</v>
      </c>
      <c r="O40" s="136">
        <v>182</v>
      </c>
      <c r="P40" s="136">
        <v>14</v>
      </c>
      <c r="Q40" s="137">
        <v>6747</v>
      </c>
      <c r="R40" s="12" t="s">
        <v>49</v>
      </c>
    </row>
    <row r="41" spans="1:18" ht="18.75" customHeight="1">
      <c r="A41" s="11" t="s">
        <v>50</v>
      </c>
      <c r="B41" s="114">
        <f>_xlfn.COMPOUNDVALUE(785)</f>
        <v>1747</v>
      </c>
      <c r="C41" s="115">
        <v>10093366</v>
      </c>
      <c r="D41" s="114">
        <f>_xlfn.COMPOUNDVALUE(786)</f>
        <v>980</v>
      </c>
      <c r="E41" s="115">
        <v>647571</v>
      </c>
      <c r="F41" s="114">
        <f>_xlfn.COMPOUNDVALUE(787)</f>
        <v>2727</v>
      </c>
      <c r="G41" s="115">
        <v>10740937</v>
      </c>
      <c r="H41" s="114">
        <f>_xlfn.COMPOUNDVALUE(788)</f>
        <v>233</v>
      </c>
      <c r="I41" s="116">
        <v>1032723</v>
      </c>
      <c r="J41" s="114">
        <v>130</v>
      </c>
      <c r="K41" s="116">
        <v>28484</v>
      </c>
      <c r="L41" s="114">
        <v>3000</v>
      </c>
      <c r="M41" s="116">
        <v>9736698</v>
      </c>
      <c r="N41" s="119">
        <v>3076</v>
      </c>
      <c r="O41" s="122">
        <v>122</v>
      </c>
      <c r="P41" s="122">
        <v>14</v>
      </c>
      <c r="Q41" s="123">
        <v>3212</v>
      </c>
      <c r="R41" s="14" t="s">
        <v>50</v>
      </c>
    </row>
    <row r="42" spans="1:18" ht="18.75" customHeight="1">
      <c r="A42" s="11" t="s">
        <v>51</v>
      </c>
      <c r="B42" s="114">
        <f>_xlfn.COMPOUNDVALUE(789)</f>
        <v>3960</v>
      </c>
      <c r="C42" s="115">
        <v>23465108</v>
      </c>
      <c r="D42" s="114">
        <f>_xlfn.COMPOUNDVALUE(790)</f>
        <v>1705</v>
      </c>
      <c r="E42" s="115">
        <v>921449</v>
      </c>
      <c r="F42" s="114">
        <f>_xlfn.COMPOUNDVALUE(791)</f>
        <v>5665</v>
      </c>
      <c r="G42" s="115">
        <v>24386557</v>
      </c>
      <c r="H42" s="114">
        <f>_xlfn.COMPOUNDVALUE(792)</f>
        <v>498</v>
      </c>
      <c r="I42" s="116">
        <v>2510335</v>
      </c>
      <c r="J42" s="114">
        <v>479</v>
      </c>
      <c r="K42" s="116">
        <v>48494</v>
      </c>
      <c r="L42" s="114">
        <v>6315</v>
      </c>
      <c r="M42" s="116">
        <v>21924716</v>
      </c>
      <c r="N42" s="119">
        <v>6568</v>
      </c>
      <c r="O42" s="122">
        <v>247</v>
      </c>
      <c r="P42" s="122">
        <v>32</v>
      </c>
      <c r="Q42" s="123">
        <v>6847</v>
      </c>
      <c r="R42" s="14" t="s">
        <v>51</v>
      </c>
    </row>
    <row r="43" spans="1:18" ht="18.75" customHeight="1">
      <c r="A43" s="11" t="s">
        <v>52</v>
      </c>
      <c r="B43" s="114">
        <f>_xlfn.COMPOUNDVALUE(793)</f>
        <v>5908</v>
      </c>
      <c r="C43" s="115">
        <v>21439567</v>
      </c>
      <c r="D43" s="114">
        <f>_xlfn.COMPOUNDVALUE(794)</f>
        <v>2832</v>
      </c>
      <c r="E43" s="115">
        <v>1452577</v>
      </c>
      <c r="F43" s="114">
        <f>_xlfn.COMPOUNDVALUE(795)</f>
        <v>8740</v>
      </c>
      <c r="G43" s="115">
        <v>22892144</v>
      </c>
      <c r="H43" s="114">
        <f>_xlfn.COMPOUNDVALUE(796)</f>
        <v>527</v>
      </c>
      <c r="I43" s="116">
        <v>2058126</v>
      </c>
      <c r="J43" s="114">
        <v>720</v>
      </c>
      <c r="K43" s="116">
        <v>119714</v>
      </c>
      <c r="L43" s="114">
        <v>9432</v>
      </c>
      <c r="M43" s="116">
        <v>20953732</v>
      </c>
      <c r="N43" s="119">
        <v>9967</v>
      </c>
      <c r="O43" s="122">
        <v>260</v>
      </c>
      <c r="P43" s="122">
        <v>29</v>
      </c>
      <c r="Q43" s="123">
        <v>10256</v>
      </c>
      <c r="R43" s="14" t="s">
        <v>52</v>
      </c>
    </row>
    <row r="44" spans="1:18" ht="18.75" customHeight="1">
      <c r="A44" s="11" t="s">
        <v>53</v>
      </c>
      <c r="B44" s="114">
        <f>_xlfn.COMPOUNDVALUE(797)</f>
        <v>1756</v>
      </c>
      <c r="C44" s="115">
        <v>10076110</v>
      </c>
      <c r="D44" s="114">
        <f>_xlfn.COMPOUNDVALUE(798)</f>
        <v>737</v>
      </c>
      <c r="E44" s="115">
        <v>389907</v>
      </c>
      <c r="F44" s="114">
        <f>_xlfn.COMPOUNDVALUE(799)</f>
        <v>2493</v>
      </c>
      <c r="G44" s="115">
        <v>10466017</v>
      </c>
      <c r="H44" s="114">
        <f>_xlfn.COMPOUNDVALUE(800)</f>
        <v>196</v>
      </c>
      <c r="I44" s="116">
        <v>565572</v>
      </c>
      <c r="J44" s="114">
        <v>231</v>
      </c>
      <c r="K44" s="116">
        <v>95010</v>
      </c>
      <c r="L44" s="114">
        <v>2744</v>
      </c>
      <c r="M44" s="116">
        <v>9995454</v>
      </c>
      <c r="N44" s="119">
        <v>2765</v>
      </c>
      <c r="O44" s="122">
        <v>88</v>
      </c>
      <c r="P44" s="122">
        <v>14</v>
      </c>
      <c r="Q44" s="123">
        <v>2867</v>
      </c>
      <c r="R44" s="14" t="s">
        <v>53</v>
      </c>
    </row>
    <row r="45" spans="1:18" ht="18.75" customHeight="1">
      <c r="A45" s="11" t="s">
        <v>54</v>
      </c>
      <c r="B45" s="114">
        <f>_xlfn.COMPOUNDVALUE(801)</f>
        <v>7180</v>
      </c>
      <c r="C45" s="115">
        <v>80670959</v>
      </c>
      <c r="D45" s="114">
        <f>_xlfn.COMPOUNDVALUE(802)</f>
        <v>2730</v>
      </c>
      <c r="E45" s="115">
        <v>1564519</v>
      </c>
      <c r="F45" s="114">
        <f>_xlfn.COMPOUNDVALUE(803)</f>
        <v>9910</v>
      </c>
      <c r="G45" s="115">
        <v>82235477</v>
      </c>
      <c r="H45" s="114">
        <f>_xlfn.COMPOUNDVALUE(804)</f>
        <v>861</v>
      </c>
      <c r="I45" s="116">
        <v>7047883</v>
      </c>
      <c r="J45" s="114">
        <v>876</v>
      </c>
      <c r="K45" s="116">
        <v>221450</v>
      </c>
      <c r="L45" s="114">
        <v>11069</v>
      </c>
      <c r="M45" s="116">
        <v>75409044</v>
      </c>
      <c r="N45" s="119">
        <v>11378</v>
      </c>
      <c r="O45" s="122">
        <v>416</v>
      </c>
      <c r="P45" s="122">
        <v>96</v>
      </c>
      <c r="Q45" s="123">
        <v>11890</v>
      </c>
      <c r="R45" s="14" t="s">
        <v>54</v>
      </c>
    </row>
    <row r="46" spans="1:18" ht="18.75" customHeight="1">
      <c r="A46" s="11" t="s">
        <v>55</v>
      </c>
      <c r="B46" s="114">
        <f>_xlfn.COMPOUNDVALUE(805)</f>
        <v>7299</v>
      </c>
      <c r="C46" s="115">
        <v>213335171</v>
      </c>
      <c r="D46" s="114">
        <f>_xlfn.COMPOUNDVALUE(806)</f>
        <v>2683</v>
      </c>
      <c r="E46" s="115">
        <v>1906158</v>
      </c>
      <c r="F46" s="114">
        <f>_xlfn.COMPOUNDVALUE(807)</f>
        <v>9982</v>
      </c>
      <c r="G46" s="115">
        <v>215241329</v>
      </c>
      <c r="H46" s="114">
        <f>_xlfn.COMPOUNDVALUE(808)</f>
        <v>1137</v>
      </c>
      <c r="I46" s="116">
        <v>93367221</v>
      </c>
      <c r="J46" s="114">
        <v>848</v>
      </c>
      <c r="K46" s="116">
        <v>195302</v>
      </c>
      <c r="L46" s="114">
        <v>11258</v>
      </c>
      <c r="M46" s="116">
        <v>122069410</v>
      </c>
      <c r="N46" s="119">
        <v>11360</v>
      </c>
      <c r="O46" s="122">
        <v>598</v>
      </c>
      <c r="P46" s="122">
        <v>141</v>
      </c>
      <c r="Q46" s="123">
        <v>12099</v>
      </c>
      <c r="R46" s="14" t="s">
        <v>55</v>
      </c>
    </row>
    <row r="47" spans="1:18" ht="18.75" customHeight="1">
      <c r="A47" s="11" t="s">
        <v>56</v>
      </c>
      <c r="B47" s="114">
        <f>_xlfn.COMPOUNDVALUE(809)</f>
        <v>3429</v>
      </c>
      <c r="C47" s="115">
        <v>99161091</v>
      </c>
      <c r="D47" s="114">
        <f>_xlfn.COMPOUNDVALUE(810)</f>
        <v>1217</v>
      </c>
      <c r="E47" s="115">
        <v>760000</v>
      </c>
      <c r="F47" s="114">
        <f>_xlfn.COMPOUNDVALUE(811)</f>
        <v>4646</v>
      </c>
      <c r="G47" s="115">
        <v>99921091</v>
      </c>
      <c r="H47" s="114">
        <f>_xlfn.COMPOUNDVALUE(812)</f>
        <v>566</v>
      </c>
      <c r="I47" s="116">
        <v>14450135</v>
      </c>
      <c r="J47" s="114">
        <v>334</v>
      </c>
      <c r="K47" s="116">
        <v>429126</v>
      </c>
      <c r="L47" s="114">
        <v>5296</v>
      </c>
      <c r="M47" s="116">
        <v>85900083</v>
      </c>
      <c r="N47" s="119">
        <v>5612</v>
      </c>
      <c r="O47" s="122">
        <v>203</v>
      </c>
      <c r="P47" s="122">
        <v>50</v>
      </c>
      <c r="Q47" s="123">
        <v>5865</v>
      </c>
      <c r="R47" s="14" t="s">
        <v>56</v>
      </c>
    </row>
    <row r="48" spans="1:18" ht="18.75" customHeight="1">
      <c r="A48" s="11" t="s">
        <v>57</v>
      </c>
      <c r="B48" s="114">
        <f>_xlfn.COMPOUNDVALUE(813)</f>
        <v>9216</v>
      </c>
      <c r="C48" s="115">
        <v>243252413</v>
      </c>
      <c r="D48" s="114">
        <f>_xlfn.COMPOUNDVALUE(814)</f>
        <v>2727</v>
      </c>
      <c r="E48" s="115">
        <v>1981019</v>
      </c>
      <c r="F48" s="114">
        <f>_xlfn.COMPOUNDVALUE(815)</f>
        <v>11943</v>
      </c>
      <c r="G48" s="115">
        <v>245233432</v>
      </c>
      <c r="H48" s="114">
        <f>_xlfn.COMPOUNDVALUE(816)</f>
        <v>2477</v>
      </c>
      <c r="I48" s="116">
        <v>56252766</v>
      </c>
      <c r="J48" s="114">
        <v>871</v>
      </c>
      <c r="K48" s="116">
        <v>682415</v>
      </c>
      <c r="L48" s="114">
        <v>14542</v>
      </c>
      <c r="M48" s="116">
        <v>189663082</v>
      </c>
      <c r="N48" s="119">
        <v>13526</v>
      </c>
      <c r="O48" s="122">
        <v>853</v>
      </c>
      <c r="P48" s="122">
        <v>199</v>
      </c>
      <c r="Q48" s="123">
        <v>14578</v>
      </c>
      <c r="R48" s="14" t="s">
        <v>57</v>
      </c>
    </row>
    <row r="49" spans="1:18" ht="18.75" customHeight="1">
      <c r="A49" s="11" t="s">
        <v>58</v>
      </c>
      <c r="B49" s="114">
        <f>_xlfn.COMPOUNDVALUE(817)</f>
        <v>5523</v>
      </c>
      <c r="C49" s="115">
        <v>57089873</v>
      </c>
      <c r="D49" s="114">
        <f>_xlfn.COMPOUNDVALUE(818)</f>
        <v>1842</v>
      </c>
      <c r="E49" s="115">
        <v>1149833</v>
      </c>
      <c r="F49" s="114">
        <f>_xlfn.COMPOUNDVALUE(819)</f>
        <v>7365</v>
      </c>
      <c r="G49" s="115">
        <v>58239706</v>
      </c>
      <c r="H49" s="114">
        <f>_xlfn.COMPOUNDVALUE(820)</f>
        <v>1163</v>
      </c>
      <c r="I49" s="116">
        <v>14682911</v>
      </c>
      <c r="J49" s="114">
        <v>508</v>
      </c>
      <c r="K49" s="116">
        <v>139612</v>
      </c>
      <c r="L49" s="114">
        <v>8648</v>
      </c>
      <c r="M49" s="116">
        <v>43696407</v>
      </c>
      <c r="N49" s="119">
        <v>8474</v>
      </c>
      <c r="O49" s="122">
        <v>452</v>
      </c>
      <c r="P49" s="122">
        <v>112</v>
      </c>
      <c r="Q49" s="123">
        <v>9038</v>
      </c>
      <c r="R49" s="14" t="s">
        <v>58</v>
      </c>
    </row>
    <row r="50" spans="1:18" ht="18.75" customHeight="1">
      <c r="A50" s="11" t="s">
        <v>59</v>
      </c>
      <c r="B50" s="114">
        <f>_xlfn.COMPOUNDVALUE(821)</f>
        <v>11964</v>
      </c>
      <c r="C50" s="115">
        <v>64134498</v>
      </c>
      <c r="D50" s="114">
        <f>_xlfn.COMPOUNDVALUE(822)</f>
        <v>5017</v>
      </c>
      <c r="E50" s="115">
        <v>2727095</v>
      </c>
      <c r="F50" s="114">
        <f>_xlfn.COMPOUNDVALUE(823)</f>
        <v>16981</v>
      </c>
      <c r="G50" s="115">
        <v>66861593</v>
      </c>
      <c r="H50" s="114">
        <f>_xlfn.COMPOUNDVALUE(824)</f>
        <v>1209</v>
      </c>
      <c r="I50" s="116">
        <v>39506223</v>
      </c>
      <c r="J50" s="114">
        <v>1043</v>
      </c>
      <c r="K50" s="116">
        <v>132405</v>
      </c>
      <c r="L50" s="114">
        <v>18471</v>
      </c>
      <c r="M50" s="116">
        <v>27487775</v>
      </c>
      <c r="N50" s="119">
        <v>18614</v>
      </c>
      <c r="O50" s="122">
        <v>579</v>
      </c>
      <c r="P50" s="122">
        <v>62</v>
      </c>
      <c r="Q50" s="123">
        <v>19255</v>
      </c>
      <c r="R50" s="14" t="s">
        <v>59</v>
      </c>
    </row>
    <row r="51" spans="1:18" ht="18.75" customHeight="1">
      <c r="A51" s="11" t="s">
        <v>60</v>
      </c>
      <c r="B51" s="114">
        <f>_xlfn.COMPOUNDVALUE(825)</f>
        <v>4146</v>
      </c>
      <c r="C51" s="115">
        <v>15095122</v>
      </c>
      <c r="D51" s="114">
        <f>_xlfn.COMPOUNDVALUE(826)</f>
        <v>1722</v>
      </c>
      <c r="E51" s="115">
        <v>858896</v>
      </c>
      <c r="F51" s="114">
        <f>_xlfn.COMPOUNDVALUE(827)</f>
        <v>5868</v>
      </c>
      <c r="G51" s="115">
        <v>15954018</v>
      </c>
      <c r="H51" s="114">
        <f>_xlfn.COMPOUNDVALUE(828)</f>
        <v>332</v>
      </c>
      <c r="I51" s="116">
        <v>1793420</v>
      </c>
      <c r="J51" s="114">
        <v>410</v>
      </c>
      <c r="K51" s="116">
        <v>88347</v>
      </c>
      <c r="L51" s="114">
        <v>6320</v>
      </c>
      <c r="M51" s="116">
        <v>14248945</v>
      </c>
      <c r="N51" s="119">
        <v>6469</v>
      </c>
      <c r="O51" s="122">
        <v>171</v>
      </c>
      <c r="P51" s="122">
        <v>19</v>
      </c>
      <c r="Q51" s="123">
        <v>6659</v>
      </c>
      <c r="R51" s="14" t="s">
        <v>60</v>
      </c>
    </row>
    <row r="52" spans="1:18" ht="18.75" customHeight="1">
      <c r="A52" s="11" t="s">
        <v>61</v>
      </c>
      <c r="B52" s="114">
        <f>_xlfn.COMPOUNDVALUE(829)</f>
        <v>8123</v>
      </c>
      <c r="C52" s="115">
        <v>49130535</v>
      </c>
      <c r="D52" s="114">
        <f>_xlfn.COMPOUNDVALUE(830)</f>
        <v>4689</v>
      </c>
      <c r="E52" s="115">
        <v>2525029</v>
      </c>
      <c r="F52" s="114">
        <f>_xlfn.COMPOUNDVALUE(831)</f>
        <v>12812</v>
      </c>
      <c r="G52" s="115">
        <v>51655565</v>
      </c>
      <c r="H52" s="114">
        <f>_xlfn.COMPOUNDVALUE(832)</f>
        <v>877</v>
      </c>
      <c r="I52" s="116">
        <v>2701338</v>
      </c>
      <c r="J52" s="114">
        <v>919</v>
      </c>
      <c r="K52" s="116">
        <v>157748</v>
      </c>
      <c r="L52" s="114">
        <v>13956</v>
      </c>
      <c r="M52" s="116">
        <v>49111974</v>
      </c>
      <c r="N52" s="119">
        <v>14630</v>
      </c>
      <c r="O52" s="122">
        <v>499</v>
      </c>
      <c r="P52" s="122">
        <v>38</v>
      </c>
      <c r="Q52" s="123">
        <v>15167</v>
      </c>
      <c r="R52" s="14" t="s">
        <v>61</v>
      </c>
    </row>
    <row r="53" spans="1:18" ht="18.75" customHeight="1">
      <c r="A53" s="11" t="s">
        <v>62</v>
      </c>
      <c r="B53" s="114">
        <f>_xlfn.COMPOUNDVALUE(833)</f>
        <v>6096</v>
      </c>
      <c r="C53" s="115">
        <v>43280330</v>
      </c>
      <c r="D53" s="114">
        <f>_xlfn.COMPOUNDVALUE(834)</f>
        <v>3063</v>
      </c>
      <c r="E53" s="115">
        <v>1823068</v>
      </c>
      <c r="F53" s="114">
        <f>_xlfn.COMPOUNDVALUE(835)</f>
        <v>9159</v>
      </c>
      <c r="G53" s="115">
        <v>45103398</v>
      </c>
      <c r="H53" s="114">
        <f>_xlfn.COMPOUNDVALUE(836)</f>
        <v>592</v>
      </c>
      <c r="I53" s="116">
        <v>3736506</v>
      </c>
      <c r="J53" s="114">
        <v>635</v>
      </c>
      <c r="K53" s="116">
        <v>136665</v>
      </c>
      <c r="L53" s="114">
        <v>9913</v>
      </c>
      <c r="M53" s="116">
        <v>41503557</v>
      </c>
      <c r="N53" s="119">
        <v>10503</v>
      </c>
      <c r="O53" s="122">
        <v>393</v>
      </c>
      <c r="P53" s="122">
        <v>53</v>
      </c>
      <c r="Q53" s="123">
        <v>10949</v>
      </c>
      <c r="R53" s="14" t="s">
        <v>62</v>
      </c>
    </row>
    <row r="54" spans="1:18" ht="18.75" customHeight="1">
      <c r="A54" s="11" t="s">
        <v>63</v>
      </c>
      <c r="B54" s="114">
        <f>_xlfn.COMPOUNDVALUE(837)</f>
        <v>4317</v>
      </c>
      <c r="C54" s="115">
        <v>21164345</v>
      </c>
      <c r="D54" s="114">
        <f>_xlfn.COMPOUNDVALUE(838)</f>
        <v>1732</v>
      </c>
      <c r="E54" s="115">
        <v>889880</v>
      </c>
      <c r="F54" s="114">
        <f>_xlfn.COMPOUNDVALUE(839)</f>
        <v>6049</v>
      </c>
      <c r="G54" s="115">
        <v>22054224</v>
      </c>
      <c r="H54" s="114">
        <f>_xlfn.COMPOUNDVALUE(840)</f>
        <v>498</v>
      </c>
      <c r="I54" s="116">
        <v>3502685</v>
      </c>
      <c r="J54" s="114">
        <v>475</v>
      </c>
      <c r="K54" s="116">
        <v>80134</v>
      </c>
      <c r="L54" s="114">
        <v>6706</v>
      </c>
      <c r="M54" s="116">
        <v>18631673</v>
      </c>
      <c r="N54" s="119">
        <v>6975</v>
      </c>
      <c r="O54" s="122">
        <v>224</v>
      </c>
      <c r="P54" s="122">
        <v>11</v>
      </c>
      <c r="Q54" s="123">
        <v>7210</v>
      </c>
      <c r="R54" s="14" t="s">
        <v>63</v>
      </c>
    </row>
    <row r="55" spans="1:18" ht="18.75" customHeight="1">
      <c r="A55" s="13" t="s">
        <v>64</v>
      </c>
      <c r="B55" s="119">
        <f>_xlfn.COMPOUNDVALUE(841)</f>
        <v>7398</v>
      </c>
      <c r="C55" s="120">
        <v>29742058</v>
      </c>
      <c r="D55" s="119">
        <f>_xlfn.COMPOUNDVALUE(842)</f>
        <v>3538</v>
      </c>
      <c r="E55" s="120">
        <v>1866680</v>
      </c>
      <c r="F55" s="119">
        <f>_xlfn.COMPOUNDVALUE(843)</f>
        <v>10936</v>
      </c>
      <c r="G55" s="120">
        <v>31608737</v>
      </c>
      <c r="H55" s="119">
        <f>_xlfn.COMPOUNDVALUE(844)</f>
        <v>647</v>
      </c>
      <c r="I55" s="121">
        <v>2492178</v>
      </c>
      <c r="J55" s="119">
        <v>799</v>
      </c>
      <c r="K55" s="121">
        <v>497843</v>
      </c>
      <c r="L55" s="119">
        <v>11921</v>
      </c>
      <c r="M55" s="121">
        <v>29614402</v>
      </c>
      <c r="N55" s="119">
        <v>12489</v>
      </c>
      <c r="O55" s="122">
        <v>348</v>
      </c>
      <c r="P55" s="122">
        <v>23</v>
      </c>
      <c r="Q55" s="123">
        <v>12860</v>
      </c>
      <c r="R55" s="14" t="s">
        <v>64</v>
      </c>
    </row>
    <row r="56" spans="1:18" ht="18.75" customHeight="1">
      <c r="A56" s="13" t="s">
        <v>65</v>
      </c>
      <c r="B56" s="119">
        <f>_xlfn.COMPOUNDVALUE(845)</f>
        <v>6463</v>
      </c>
      <c r="C56" s="120">
        <v>36610795</v>
      </c>
      <c r="D56" s="119">
        <f>_xlfn.COMPOUNDVALUE(846)</f>
        <v>3325</v>
      </c>
      <c r="E56" s="120">
        <v>1830604</v>
      </c>
      <c r="F56" s="119">
        <f>_xlfn.COMPOUNDVALUE(847)</f>
        <v>9788</v>
      </c>
      <c r="G56" s="120">
        <v>38441399</v>
      </c>
      <c r="H56" s="119">
        <f>_xlfn.COMPOUNDVALUE(848)</f>
        <v>505</v>
      </c>
      <c r="I56" s="121">
        <v>15344683</v>
      </c>
      <c r="J56" s="119">
        <v>708</v>
      </c>
      <c r="K56" s="121">
        <v>127925</v>
      </c>
      <c r="L56" s="119">
        <v>10506</v>
      </c>
      <c r="M56" s="121">
        <v>23224640</v>
      </c>
      <c r="N56" s="119">
        <v>11293</v>
      </c>
      <c r="O56" s="122">
        <v>341</v>
      </c>
      <c r="P56" s="122">
        <v>30</v>
      </c>
      <c r="Q56" s="123">
        <v>11664</v>
      </c>
      <c r="R56" s="14" t="s">
        <v>65</v>
      </c>
    </row>
    <row r="57" spans="1:18" ht="18.75" customHeight="1">
      <c r="A57" s="13" t="s">
        <v>66</v>
      </c>
      <c r="B57" s="119">
        <f>_xlfn.COMPOUNDVALUE(849)</f>
        <v>7709</v>
      </c>
      <c r="C57" s="120">
        <v>35055518</v>
      </c>
      <c r="D57" s="119">
        <f>_xlfn.COMPOUNDVALUE(850)</f>
        <v>3665</v>
      </c>
      <c r="E57" s="120">
        <v>1868459</v>
      </c>
      <c r="F57" s="119">
        <f>_xlfn.COMPOUNDVALUE(851)</f>
        <v>11374</v>
      </c>
      <c r="G57" s="120">
        <v>36923977</v>
      </c>
      <c r="H57" s="119">
        <f>_xlfn.COMPOUNDVALUE(852)</f>
        <v>569</v>
      </c>
      <c r="I57" s="121">
        <v>3829128</v>
      </c>
      <c r="J57" s="119">
        <v>731</v>
      </c>
      <c r="K57" s="121">
        <v>138534</v>
      </c>
      <c r="L57" s="119">
        <v>12139</v>
      </c>
      <c r="M57" s="121">
        <v>33233383</v>
      </c>
      <c r="N57" s="119">
        <v>12348</v>
      </c>
      <c r="O57" s="122">
        <v>296</v>
      </c>
      <c r="P57" s="122">
        <v>18</v>
      </c>
      <c r="Q57" s="123">
        <v>12662</v>
      </c>
      <c r="R57" s="14" t="s">
        <v>66</v>
      </c>
    </row>
    <row r="58" spans="1:18" ht="18.75" customHeight="1">
      <c r="A58" s="13" t="s">
        <v>67</v>
      </c>
      <c r="B58" s="119">
        <f>_xlfn.COMPOUNDVALUE(853)</f>
        <v>3521</v>
      </c>
      <c r="C58" s="120">
        <v>15248116</v>
      </c>
      <c r="D58" s="119">
        <f>_xlfn.COMPOUNDVALUE(854)</f>
        <v>1541</v>
      </c>
      <c r="E58" s="120">
        <v>756977</v>
      </c>
      <c r="F58" s="119">
        <f>_xlfn.COMPOUNDVALUE(855)</f>
        <v>5062</v>
      </c>
      <c r="G58" s="120">
        <v>16005093</v>
      </c>
      <c r="H58" s="119">
        <f>_xlfn.COMPOUNDVALUE(856)</f>
        <v>306</v>
      </c>
      <c r="I58" s="121">
        <v>2355922</v>
      </c>
      <c r="J58" s="119">
        <v>392</v>
      </c>
      <c r="K58" s="121">
        <v>70446</v>
      </c>
      <c r="L58" s="119">
        <v>5499</v>
      </c>
      <c r="M58" s="121">
        <v>13719617</v>
      </c>
      <c r="N58" s="119">
        <v>5560</v>
      </c>
      <c r="O58" s="122">
        <v>170</v>
      </c>
      <c r="P58" s="122">
        <v>21</v>
      </c>
      <c r="Q58" s="123">
        <v>5751</v>
      </c>
      <c r="R58" s="14" t="s">
        <v>67</v>
      </c>
    </row>
    <row r="59" spans="1:18" ht="18.75" customHeight="1">
      <c r="A59" s="13" t="s">
        <v>68</v>
      </c>
      <c r="B59" s="119">
        <f>_xlfn.COMPOUNDVALUE(857)</f>
        <v>5934</v>
      </c>
      <c r="C59" s="120">
        <v>20259549</v>
      </c>
      <c r="D59" s="119">
        <f>_xlfn.COMPOUNDVALUE(858)</f>
        <v>2859</v>
      </c>
      <c r="E59" s="120">
        <v>1475377</v>
      </c>
      <c r="F59" s="119">
        <f>_xlfn.COMPOUNDVALUE(859)</f>
        <v>8793</v>
      </c>
      <c r="G59" s="120">
        <v>21734926</v>
      </c>
      <c r="H59" s="119">
        <f>_xlfn.COMPOUNDVALUE(860)</f>
        <v>426</v>
      </c>
      <c r="I59" s="121">
        <v>733457</v>
      </c>
      <c r="J59" s="119">
        <v>586</v>
      </c>
      <c r="K59" s="121">
        <v>175972</v>
      </c>
      <c r="L59" s="119">
        <v>9429</v>
      </c>
      <c r="M59" s="121">
        <v>21177441</v>
      </c>
      <c r="N59" s="119">
        <v>9625</v>
      </c>
      <c r="O59" s="122">
        <v>239</v>
      </c>
      <c r="P59" s="122">
        <v>26</v>
      </c>
      <c r="Q59" s="123">
        <v>9890</v>
      </c>
      <c r="R59" s="14" t="s">
        <v>68</v>
      </c>
    </row>
    <row r="60" spans="1:18" ht="18.75" customHeight="1">
      <c r="A60" s="13" t="s">
        <v>69</v>
      </c>
      <c r="B60" s="119">
        <f>_xlfn.COMPOUNDVALUE(861)</f>
        <v>7120</v>
      </c>
      <c r="C60" s="120">
        <v>37650650</v>
      </c>
      <c r="D60" s="119">
        <f>_xlfn.COMPOUNDVALUE(862)</f>
        <v>3418</v>
      </c>
      <c r="E60" s="120">
        <v>1880453</v>
      </c>
      <c r="F60" s="119">
        <f>_xlfn.COMPOUNDVALUE(863)</f>
        <v>10538</v>
      </c>
      <c r="G60" s="120">
        <v>39531103</v>
      </c>
      <c r="H60" s="119">
        <f>_xlfn.COMPOUNDVALUE(864)</f>
        <v>523</v>
      </c>
      <c r="I60" s="121">
        <v>42888973</v>
      </c>
      <c r="J60" s="119">
        <v>726</v>
      </c>
      <c r="K60" s="121">
        <v>183455</v>
      </c>
      <c r="L60" s="119">
        <v>11316</v>
      </c>
      <c r="M60" s="121">
        <v>-3174415</v>
      </c>
      <c r="N60" s="119">
        <v>11558</v>
      </c>
      <c r="O60" s="122">
        <v>280</v>
      </c>
      <c r="P60" s="122">
        <v>20</v>
      </c>
      <c r="Q60" s="123">
        <v>11858</v>
      </c>
      <c r="R60" s="14" t="s">
        <v>69</v>
      </c>
    </row>
    <row r="61" spans="1:18" ht="18.75" customHeight="1">
      <c r="A61" s="13" t="s">
        <v>70</v>
      </c>
      <c r="B61" s="119">
        <f>_xlfn.COMPOUNDVALUE(865)</f>
        <v>10420</v>
      </c>
      <c r="C61" s="120">
        <v>50912709</v>
      </c>
      <c r="D61" s="119">
        <f>_xlfn.COMPOUNDVALUE(866)</f>
        <v>5017</v>
      </c>
      <c r="E61" s="120">
        <v>2682538</v>
      </c>
      <c r="F61" s="119">
        <f>_xlfn.COMPOUNDVALUE(867)</f>
        <v>15437</v>
      </c>
      <c r="G61" s="120">
        <v>53595247</v>
      </c>
      <c r="H61" s="119">
        <f>_xlfn.COMPOUNDVALUE(868)</f>
        <v>729</v>
      </c>
      <c r="I61" s="121">
        <v>2574485</v>
      </c>
      <c r="J61" s="119">
        <v>1023</v>
      </c>
      <c r="K61" s="121">
        <v>213437</v>
      </c>
      <c r="L61" s="119">
        <v>16402</v>
      </c>
      <c r="M61" s="121">
        <v>51234200</v>
      </c>
      <c r="N61" s="119">
        <v>16293</v>
      </c>
      <c r="O61" s="122">
        <v>360</v>
      </c>
      <c r="P61" s="122">
        <v>58</v>
      </c>
      <c r="Q61" s="123">
        <v>16711</v>
      </c>
      <c r="R61" s="14" t="s">
        <v>70</v>
      </c>
    </row>
    <row r="62" spans="1:18" ht="18.75" customHeight="1">
      <c r="A62" s="15" t="s">
        <v>71</v>
      </c>
      <c r="B62" s="124">
        <v>161427</v>
      </c>
      <c r="C62" s="125">
        <v>1495194599</v>
      </c>
      <c r="D62" s="124">
        <v>69822</v>
      </c>
      <c r="E62" s="125">
        <v>39059209</v>
      </c>
      <c r="F62" s="124">
        <v>231249</v>
      </c>
      <c r="G62" s="125">
        <v>1534253809</v>
      </c>
      <c r="H62" s="124">
        <v>19196</v>
      </c>
      <c r="I62" s="126">
        <v>376230283</v>
      </c>
      <c r="J62" s="124">
        <v>16863</v>
      </c>
      <c r="K62" s="126">
        <v>5557777</v>
      </c>
      <c r="L62" s="124">
        <v>255043</v>
      </c>
      <c r="M62" s="126">
        <v>1163581302</v>
      </c>
      <c r="N62" s="124">
        <v>261215</v>
      </c>
      <c r="O62" s="127">
        <v>8990</v>
      </c>
      <c r="P62" s="127">
        <v>1333</v>
      </c>
      <c r="Q62" s="128">
        <v>271538</v>
      </c>
      <c r="R62" s="16" t="s">
        <v>122</v>
      </c>
    </row>
    <row r="63" spans="1:18" ht="18.75" customHeight="1">
      <c r="A63" s="23"/>
      <c r="B63" s="129"/>
      <c r="C63" s="130"/>
      <c r="D63" s="129"/>
      <c r="E63" s="130"/>
      <c r="F63" s="131"/>
      <c r="G63" s="130"/>
      <c r="H63" s="131"/>
      <c r="I63" s="130"/>
      <c r="J63" s="131"/>
      <c r="K63" s="130"/>
      <c r="L63" s="131"/>
      <c r="M63" s="130"/>
      <c r="N63" s="132"/>
      <c r="O63" s="133"/>
      <c r="P63" s="133"/>
      <c r="Q63" s="134"/>
      <c r="R63" s="36" t="s">
        <v>119</v>
      </c>
    </row>
    <row r="64" spans="1:18" ht="18.75" customHeight="1">
      <c r="A64" s="11" t="s">
        <v>72</v>
      </c>
      <c r="B64" s="114">
        <f>_xlfn.COMPOUNDVALUE(869)</f>
        <v>1756</v>
      </c>
      <c r="C64" s="115">
        <v>12465274</v>
      </c>
      <c r="D64" s="114">
        <f>_xlfn.COMPOUNDVALUE(870)</f>
        <v>941</v>
      </c>
      <c r="E64" s="115">
        <v>488467</v>
      </c>
      <c r="F64" s="114">
        <f>_xlfn.COMPOUNDVALUE(871)</f>
        <v>2697</v>
      </c>
      <c r="G64" s="115">
        <v>12953741</v>
      </c>
      <c r="H64" s="114">
        <f>_xlfn.COMPOUNDVALUE(872)</f>
        <v>327</v>
      </c>
      <c r="I64" s="116">
        <v>1147731</v>
      </c>
      <c r="J64" s="114">
        <v>213</v>
      </c>
      <c r="K64" s="116">
        <v>-32623</v>
      </c>
      <c r="L64" s="114">
        <v>3084</v>
      </c>
      <c r="M64" s="116">
        <v>11773386</v>
      </c>
      <c r="N64" s="119">
        <v>3183</v>
      </c>
      <c r="O64" s="122">
        <v>161</v>
      </c>
      <c r="P64" s="122">
        <v>7</v>
      </c>
      <c r="Q64" s="123">
        <v>3351</v>
      </c>
      <c r="R64" s="14" t="s">
        <v>72</v>
      </c>
    </row>
    <row r="65" spans="1:18" ht="18.75" customHeight="1">
      <c r="A65" s="11" t="s">
        <v>73</v>
      </c>
      <c r="B65" s="114">
        <f>_xlfn.COMPOUNDVALUE(873)</f>
        <v>5037</v>
      </c>
      <c r="C65" s="115">
        <v>23788762</v>
      </c>
      <c r="D65" s="114">
        <f>_xlfn.COMPOUNDVALUE(874)</f>
        <v>2330</v>
      </c>
      <c r="E65" s="115">
        <v>1154068</v>
      </c>
      <c r="F65" s="114">
        <f>_xlfn.COMPOUNDVALUE(875)</f>
        <v>7367</v>
      </c>
      <c r="G65" s="115">
        <v>24942830</v>
      </c>
      <c r="H65" s="114">
        <f>_xlfn.COMPOUNDVALUE(876)</f>
        <v>581</v>
      </c>
      <c r="I65" s="116">
        <v>3670778</v>
      </c>
      <c r="J65" s="114">
        <v>666</v>
      </c>
      <c r="K65" s="116">
        <v>118053</v>
      </c>
      <c r="L65" s="114">
        <v>8149</v>
      </c>
      <c r="M65" s="116">
        <v>21390105</v>
      </c>
      <c r="N65" s="119">
        <v>8320</v>
      </c>
      <c r="O65" s="122">
        <v>323</v>
      </c>
      <c r="P65" s="122">
        <v>20</v>
      </c>
      <c r="Q65" s="123">
        <v>8663</v>
      </c>
      <c r="R65" s="14" t="s">
        <v>73</v>
      </c>
    </row>
    <row r="66" spans="1:18" ht="18.75" customHeight="1">
      <c r="A66" s="11" t="s">
        <v>74</v>
      </c>
      <c r="B66" s="114">
        <f>_xlfn.COMPOUNDVALUE(877)</f>
        <v>1999</v>
      </c>
      <c r="C66" s="115">
        <v>8402785</v>
      </c>
      <c r="D66" s="114">
        <f>_xlfn.COMPOUNDVALUE(878)</f>
        <v>824</v>
      </c>
      <c r="E66" s="115">
        <v>389057</v>
      </c>
      <c r="F66" s="114">
        <f>_xlfn.COMPOUNDVALUE(879)</f>
        <v>2823</v>
      </c>
      <c r="G66" s="115">
        <v>8791842</v>
      </c>
      <c r="H66" s="114">
        <f>_xlfn.COMPOUNDVALUE(880)</f>
        <v>177</v>
      </c>
      <c r="I66" s="116">
        <v>599328</v>
      </c>
      <c r="J66" s="114">
        <v>301</v>
      </c>
      <c r="K66" s="116">
        <v>74345</v>
      </c>
      <c r="L66" s="114">
        <v>3116</v>
      </c>
      <c r="M66" s="116">
        <v>8266860</v>
      </c>
      <c r="N66" s="119">
        <v>3073</v>
      </c>
      <c r="O66" s="122">
        <v>92</v>
      </c>
      <c r="P66" s="122">
        <v>8</v>
      </c>
      <c r="Q66" s="123">
        <v>3173</v>
      </c>
      <c r="R66" s="14" t="s">
        <v>74</v>
      </c>
    </row>
    <row r="67" spans="1:18" ht="18.75" customHeight="1">
      <c r="A67" s="11" t="s">
        <v>75</v>
      </c>
      <c r="B67" s="114">
        <f>_xlfn.COMPOUNDVALUE(881)</f>
        <v>2903</v>
      </c>
      <c r="C67" s="115">
        <v>7896675</v>
      </c>
      <c r="D67" s="114">
        <f>_xlfn.COMPOUNDVALUE(882)</f>
        <v>1641</v>
      </c>
      <c r="E67" s="115">
        <v>862640</v>
      </c>
      <c r="F67" s="114">
        <f>_xlfn.COMPOUNDVALUE(883)</f>
        <v>4544</v>
      </c>
      <c r="G67" s="115">
        <v>8759315</v>
      </c>
      <c r="H67" s="114">
        <f>_xlfn.COMPOUNDVALUE(884)</f>
        <v>392</v>
      </c>
      <c r="I67" s="116">
        <v>831536</v>
      </c>
      <c r="J67" s="114">
        <v>322</v>
      </c>
      <c r="K67" s="116">
        <v>93522</v>
      </c>
      <c r="L67" s="114">
        <v>5048</v>
      </c>
      <c r="M67" s="116">
        <v>8021301</v>
      </c>
      <c r="N67" s="119">
        <v>5514</v>
      </c>
      <c r="O67" s="122">
        <v>191</v>
      </c>
      <c r="P67" s="122">
        <v>8</v>
      </c>
      <c r="Q67" s="123">
        <v>5713</v>
      </c>
      <c r="R67" s="14" t="s">
        <v>75</v>
      </c>
    </row>
    <row r="68" spans="1:18" ht="18.75" customHeight="1">
      <c r="A68" s="11" t="s">
        <v>76</v>
      </c>
      <c r="B68" s="114">
        <f>_xlfn.COMPOUNDVALUE(885)</f>
        <v>6285</v>
      </c>
      <c r="C68" s="115">
        <v>85322831</v>
      </c>
      <c r="D68" s="114">
        <f>_xlfn.COMPOUNDVALUE(886)</f>
        <v>2501</v>
      </c>
      <c r="E68" s="115">
        <v>1537075</v>
      </c>
      <c r="F68" s="114">
        <f>_xlfn.COMPOUNDVALUE(887)</f>
        <v>8786</v>
      </c>
      <c r="G68" s="115">
        <v>86859906</v>
      </c>
      <c r="H68" s="114">
        <f>_xlfn.COMPOUNDVALUE(888)</f>
        <v>2273</v>
      </c>
      <c r="I68" s="116">
        <v>44694480</v>
      </c>
      <c r="J68" s="114">
        <v>905</v>
      </c>
      <c r="K68" s="116">
        <v>-195480</v>
      </c>
      <c r="L68" s="114">
        <v>11201</v>
      </c>
      <c r="M68" s="116">
        <v>41969946</v>
      </c>
      <c r="N68" s="119">
        <v>9992</v>
      </c>
      <c r="O68" s="122">
        <v>918</v>
      </c>
      <c r="P68" s="122">
        <v>109</v>
      </c>
      <c r="Q68" s="123">
        <v>11019</v>
      </c>
      <c r="R68" s="14" t="s">
        <v>76</v>
      </c>
    </row>
    <row r="69" spans="1:18" ht="18.75" customHeight="1">
      <c r="A69" s="11" t="s">
        <v>77</v>
      </c>
      <c r="B69" s="114">
        <f>_xlfn.COMPOUNDVALUE(889)</f>
        <v>9210</v>
      </c>
      <c r="C69" s="115">
        <v>49013002</v>
      </c>
      <c r="D69" s="114">
        <f>_xlfn.COMPOUNDVALUE(890)</f>
        <v>4159</v>
      </c>
      <c r="E69" s="115">
        <v>2259859</v>
      </c>
      <c r="F69" s="114">
        <f>_xlfn.COMPOUNDVALUE(891)</f>
        <v>13369</v>
      </c>
      <c r="G69" s="115">
        <v>51272861</v>
      </c>
      <c r="H69" s="114">
        <f>_xlfn.COMPOUNDVALUE(892)</f>
        <v>636</v>
      </c>
      <c r="I69" s="116">
        <v>2683609</v>
      </c>
      <c r="J69" s="114">
        <v>867</v>
      </c>
      <c r="K69" s="116">
        <v>167669</v>
      </c>
      <c r="L69" s="114">
        <v>14264</v>
      </c>
      <c r="M69" s="116">
        <v>48756922</v>
      </c>
      <c r="N69" s="119">
        <v>14335</v>
      </c>
      <c r="O69" s="122">
        <v>374</v>
      </c>
      <c r="P69" s="122">
        <v>43</v>
      </c>
      <c r="Q69" s="123">
        <v>14752</v>
      </c>
      <c r="R69" s="14" t="s">
        <v>77</v>
      </c>
    </row>
    <row r="70" spans="1:18" ht="18.75" customHeight="1">
      <c r="A70" s="11" t="s">
        <v>78</v>
      </c>
      <c r="B70" s="114">
        <f>_xlfn.COMPOUNDVALUE(893)</f>
        <v>6509</v>
      </c>
      <c r="C70" s="115">
        <v>41823467</v>
      </c>
      <c r="D70" s="114">
        <f>_xlfn.COMPOUNDVALUE(894)</f>
        <v>2977</v>
      </c>
      <c r="E70" s="115">
        <v>1569512</v>
      </c>
      <c r="F70" s="114">
        <f>_xlfn.COMPOUNDVALUE(895)</f>
        <v>9486</v>
      </c>
      <c r="G70" s="115">
        <v>43392979</v>
      </c>
      <c r="H70" s="114">
        <f>_xlfn.COMPOUNDVALUE(896)</f>
        <v>552</v>
      </c>
      <c r="I70" s="116">
        <v>2243848</v>
      </c>
      <c r="J70" s="114">
        <v>747</v>
      </c>
      <c r="K70" s="116">
        <v>186386</v>
      </c>
      <c r="L70" s="114">
        <v>10258</v>
      </c>
      <c r="M70" s="116">
        <v>41335517</v>
      </c>
      <c r="N70" s="119">
        <v>10923</v>
      </c>
      <c r="O70" s="122">
        <v>278</v>
      </c>
      <c r="P70" s="122">
        <v>25</v>
      </c>
      <c r="Q70" s="123">
        <v>11226</v>
      </c>
      <c r="R70" s="14" t="s">
        <v>78</v>
      </c>
    </row>
    <row r="71" spans="1:18" ht="18.75" customHeight="1">
      <c r="A71" s="11" t="s">
        <v>79</v>
      </c>
      <c r="B71" s="114">
        <f>_xlfn.COMPOUNDVALUE(897)</f>
        <v>5189</v>
      </c>
      <c r="C71" s="115">
        <v>23602065</v>
      </c>
      <c r="D71" s="114">
        <f>_xlfn.COMPOUNDVALUE(898)</f>
        <v>3146</v>
      </c>
      <c r="E71" s="115">
        <v>1609829</v>
      </c>
      <c r="F71" s="114">
        <f>_xlfn.COMPOUNDVALUE(899)</f>
        <v>8335</v>
      </c>
      <c r="G71" s="115">
        <v>25211894</v>
      </c>
      <c r="H71" s="114">
        <f>_xlfn.COMPOUNDVALUE(900)</f>
        <v>527</v>
      </c>
      <c r="I71" s="116">
        <v>1946094</v>
      </c>
      <c r="J71" s="114">
        <v>624</v>
      </c>
      <c r="K71" s="116">
        <v>69273</v>
      </c>
      <c r="L71" s="114">
        <v>9010</v>
      </c>
      <c r="M71" s="116">
        <v>23335072</v>
      </c>
      <c r="N71" s="119">
        <v>9409</v>
      </c>
      <c r="O71" s="122">
        <v>354</v>
      </c>
      <c r="P71" s="122">
        <v>28</v>
      </c>
      <c r="Q71" s="123">
        <v>9791</v>
      </c>
      <c r="R71" s="14" t="s">
        <v>79</v>
      </c>
    </row>
    <row r="72" spans="1:18" ht="18.75" customHeight="1">
      <c r="A72" s="11" t="s">
        <v>80</v>
      </c>
      <c r="B72" s="114">
        <f>_xlfn.COMPOUNDVALUE(901)</f>
        <v>6913</v>
      </c>
      <c r="C72" s="115">
        <v>33069296</v>
      </c>
      <c r="D72" s="114">
        <f>_xlfn.COMPOUNDVALUE(902)</f>
        <v>4317</v>
      </c>
      <c r="E72" s="115">
        <v>2448027</v>
      </c>
      <c r="F72" s="114">
        <f>_xlfn.COMPOUNDVALUE(903)</f>
        <v>11230</v>
      </c>
      <c r="G72" s="115">
        <v>35517323</v>
      </c>
      <c r="H72" s="114">
        <f>_xlfn.COMPOUNDVALUE(904)</f>
        <v>799</v>
      </c>
      <c r="I72" s="116">
        <v>3527960</v>
      </c>
      <c r="J72" s="114">
        <v>740</v>
      </c>
      <c r="K72" s="116">
        <v>154794</v>
      </c>
      <c r="L72" s="114">
        <v>12239</v>
      </c>
      <c r="M72" s="116">
        <v>32144158</v>
      </c>
      <c r="N72" s="119">
        <v>13494</v>
      </c>
      <c r="O72" s="122">
        <v>526</v>
      </c>
      <c r="P72" s="122">
        <v>47</v>
      </c>
      <c r="Q72" s="123">
        <v>14067</v>
      </c>
      <c r="R72" s="14" t="s">
        <v>80</v>
      </c>
    </row>
    <row r="73" spans="1:18" ht="18.75" customHeight="1">
      <c r="A73" s="11" t="s">
        <v>81</v>
      </c>
      <c r="B73" s="114">
        <f>_xlfn.COMPOUNDVALUE(905)</f>
        <v>2375</v>
      </c>
      <c r="C73" s="115">
        <v>8282277</v>
      </c>
      <c r="D73" s="114">
        <f>_xlfn.COMPOUNDVALUE(906)</f>
        <v>2112</v>
      </c>
      <c r="E73" s="115">
        <v>788008</v>
      </c>
      <c r="F73" s="114">
        <f>_xlfn.COMPOUNDVALUE(907)</f>
        <v>4487</v>
      </c>
      <c r="G73" s="115">
        <v>9070285</v>
      </c>
      <c r="H73" s="114">
        <f>_xlfn.COMPOUNDVALUE(908)</f>
        <v>148</v>
      </c>
      <c r="I73" s="116">
        <v>660258</v>
      </c>
      <c r="J73" s="114">
        <v>290</v>
      </c>
      <c r="K73" s="116">
        <v>41225</v>
      </c>
      <c r="L73" s="114">
        <v>4675</v>
      </c>
      <c r="M73" s="116">
        <v>8451253</v>
      </c>
      <c r="N73" s="114">
        <v>4600</v>
      </c>
      <c r="O73" s="117">
        <v>119</v>
      </c>
      <c r="P73" s="117">
        <v>8</v>
      </c>
      <c r="Q73" s="118">
        <v>4727</v>
      </c>
      <c r="R73" s="12" t="s">
        <v>81</v>
      </c>
    </row>
    <row r="74" spans="1:18" ht="18.75" customHeight="1">
      <c r="A74" s="11" t="s">
        <v>82</v>
      </c>
      <c r="B74" s="114">
        <f>_xlfn.COMPOUNDVALUE(909)</f>
        <v>3814</v>
      </c>
      <c r="C74" s="115">
        <v>24681133</v>
      </c>
      <c r="D74" s="114">
        <f>_xlfn.COMPOUNDVALUE(910)</f>
        <v>2057</v>
      </c>
      <c r="E74" s="115">
        <v>1205816</v>
      </c>
      <c r="F74" s="114">
        <f>_xlfn.COMPOUNDVALUE(911)</f>
        <v>5871</v>
      </c>
      <c r="G74" s="115">
        <v>25886949</v>
      </c>
      <c r="H74" s="114">
        <f>_xlfn.COMPOUNDVALUE(912)</f>
        <v>739</v>
      </c>
      <c r="I74" s="116">
        <v>4808443</v>
      </c>
      <c r="J74" s="114">
        <v>506</v>
      </c>
      <c r="K74" s="116">
        <v>99851</v>
      </c>
      <c r="L74" s="114">
        <v>6829</v>
      </c>
      <c r="M74" s="116">
        <v>21178357</v>
      </c>
      <c r="N74" s="119">
        <v>6983</v>
      </c>
      <c r="O74" s="122">
        <v>400</v>
      </c>
      <c r="P74" s="122">
        <v>38</v>
      </c>
      <c r="Q74" s="123">
        <v>7421</v>
      </c>
      <c r="R74" s="14" t="s">
        <v>82</v>
      </c>
    </row>
    <row r="75" spans="1:18" ht="18.75" customHeight="1">
      <c r="A75" s="11" t="s">
        <v>83</v>
      </c>
      <c r="B75" s="114">
        <f>_xlfn.COMPOUNDVALUE(913)</f>
        <v>3855</v>
      </c>
      <c r="C75" s="115">
        <v>18688494</v>
      </c>
      <c r="D75" s="114">
        <f>_xlfn.COMPOUNDVALUE(914)</f>
        <v>2187</v>
      </c>
      <c r="E75" s="115">
        <v>1125008</v>
      </c>
      <c r="F75" s="114">
        <f>_xlfn.COMPOUNDVALUE(915)</f>
        <v>6042</v>
      </c>
      <c r="G75" s="115">
        <v>19813501</v>
      </c>
      <c r="H75" s="114">
        <f>_xlfn.COMPOUNDVALUE(916)</f>
        <v>359</v>
      </c>
      <c r="I75" s="116">
        <v>2734762</v>
      </c>
      <c r="J75" s="114">
        <v>445</v>
      </c>
      <c r="K75" s="116">
        <v>293282</v>
      </c>
      <c r="L75" s="114">
        <v>6565</v>
      </c>
      <c r="M75" s="116">
        <v>17372021</v>
      </c>
      <c r="N75" s="114">
        <v>7000</v>
      </c>
      <c r="O75" s="136">
        <v>214</v>
      </c>
      <c r="P75" s="136">
        <v>6</v>
      </c>
      <c r="Q75" s="137">
        <v>7220</v>
      </c>
      <c r="R75" s="12" t="s">
        <v>83</v>
      </c>
    </row>
    <row r="76" spans="1:18" ht="18.75" customHeight="1">
      <c r="A76" s="11" t="s">
        <v>84</v>
      </c>
      <c r="B76" s="114">
        <f>_xlfn.COMPOUNDVALUE(917)</f>
        <v>1295</v>
      </c>
      <c r="C76" s="115">
        <v>4926068</v>
      </c>
      <c r="D76" s="114">
        <f>_xlfn.COMPOUNDVALUE(918)</f>
        <v>706</v>
      </c>
      <c r="E76" s="115">
        <v>336520</v>
      </c>
      <c r="F76" s="114">
        <f>_xlfn.COMPOUNDVALUE(919)</f>
        <v>2001</v>
      </c>
      <c r="G76" s="115">
        <v>5262588</v>
      </c>
      <c r="H76" s="114">
        <f>_xlfn.COMPOUNDVALUE(920)</f>
        <v>63</v>
      </c>
      <c r="I76" s="116">
        <v>466688</v>
      </c>
      <c r="J76" s="114">
        <v>89</v>
      </c>
      <c r="K76" s="116">
        <v>20289</v>
      </c>
      <c r="L76" s="114">
        <v>2103</v>
      </c>
      <c r="M76" s="116">
        <v>4816189</v>
      </c>
      <c r="N76" s="119">
        <v>2154</v>
      </c>
      <c r="O76" s="122">
        <v>65</v>
      </c>
      <c r="P76" s="122">
        <v>4</v>
      </c>
      <c r="Q76" s="123">
        <v>2223</v>
      </c>
      <c r="R76" s="14" t="s">
        <v>84</v>
      </c>
    </row>
    <row r="77" spans="1:18" ht="18.75" customHeight="1">
      <c r="A77" s="11" t="s">
        <v>85</v>
      </c>
      <c r="B77" s="114">
        <f>_xlfn.COMPOUNDVALUE(921)</f>
        <v>2018</v>
      </c>
      <c r="C77" s="115">
        <v>6358850</v>
      </c>
      <c r="D77" s="114">
        <f>_xlfn.COMPOUNDVALUE(922)</f>
        <v>1084</v>
      </c>
      <c r="E77" s="115">
        <v>466356</v>
      </c>
      <c r="F77" s="114">
        <f>_xlfn.COMPOUNDVALUE(923)</f>
        <v>3102</v>
      </c>
      <c r="G77" s="115">
        <v>6825207</v>
      </c>
      <c r="H77" s="114">
        <f>_xlfn.COMPOUNDVALUE(924)</f>
        <v>88</v>
      </c>
      <c r="I77" s="116">
        <v>237233</v>
      </c>
      <c r="J77" s="114">
        <v>230</v>
      </c>
      <c r="K77" s="116">
        <v>20933</v>
      </c>
      <c r="L77" s="114">
        <v>3233</v>
      </c>
      <c r="M77" s="116">
        <v>6608907</v>
      </c>
      <c r="N77" s="119">
        <v>3074</v>
      </c>
      <c r="O77" s="122">
        <v>93</v>
      </c>
      <c r="P77" s="122">
        <v>8</v>
      </c>
      <c r="Q77" s="123">
        <v>3175</v>
      </c>
      <c r="R77" s="14" t="s">
        <v>85</v>
      </c>
    </row>
    <row r="78" spans="1:18" ht="18.75" customHeight="1">
      <c r="A78" s="13" t="s">
        <v>86</v>
      </c>
      <c r="B78" s="119">
        <f>_xlfn.COMPOUNDVALUE(925)</f>
        <v>4693</v>
      </c>
      <c r="C78" s="120">
        <v>20670668</v>
      </c>
      <c r="D78" s="119">
        <f>_xlfn.COMPOUNDVALUE(926)</f>
        <v>2112</v>
      </c>
      <c r="E78" s="120">
        <v>1095761</v>
      </c>
      <c r="F78" s="119">
        <f>_xlfn.COMPOUNDVALUE(927)</f>
        <v>6805</v>
      </c>
      <c r="G78" s="120">
        <v>21766428</v>
      </c>
      <c r="H78" s="119">
        <f>_xlfn.COMPOUNDVALUE(928)</f>
        <v>340</v>
      </c>
      <c r="I78" s="121">
        <v>3560695</v>
      </c>
      <c r="J78" s="119">
        <v>565</v>
      </c>
      <c r="K78" s="121">
        <v>109578</v>
      </c>
      <c r="L78" s="119">
        <v>7288</v>
      </c>
      <c r="M78" s="121">
        <v>18315311</v>
      </c>
      <c r="N78" s="119">
        <v>7556</v>
      </c>
      <c r="O78" s="122">
        <v>230</v>
      </c>
      <c r="P78" s="122">
        <v>20</v>
      </c>
      <c r="Q78" s="123">
        <v>7806</v>
      </c>
      <c r="R78" s="14" t="s">
        <v>86</v>
      </c>
    </row>
    <row r="79" spans="1:18" ht="18.75" customHeight="1">
      <c r="A79" s="13" t="s">
        <v>87</v>
      </c>
      <c r="B79" s="119">
        <f>_xlfn.COMPOUNDVALUE(929)</f>
        <v>2219</v>
      </c>
      <c r="C79" s="120">
        <v>7947976</v>
      </c>
      <c r="D79" s="119">
        <f>_xlfn.COMPOUNDVALUE(930)</f>
        <v>1442</v>
      </c>
      <c r="E79" s="120">
        <v>690711</v>
      </c>
      <c r="F79" s="119">
        <f>_xlfn.COMPOUNDVALUE(931)</f>
        <v>3661</v>
      </c>
      <c r="G79" s="120">
        <v>8638688</v>
      </c>
      <c r="H79" s="119">
        <f>_xlfn.COMPOUNDVALUE(932)</f>
        <v>147</v>
      </c>
      <c r="I79" s="121">
        <v>861972</v>
      </c>
      <c r="J79" s="119">
        <v>291</v>
      </c>
      <c r="K79" s="121">
        <v>30362</v>
      </c>
      <c r="L79" s="119">
        <v>3892</v>
      </c>
      <c r="M79" s="121">
        <v>7807078</v>
      </c>
      <c r="N79" s="119">
        <v>3969</v>
      </c>
      <c r="O79" s="122">
        <v>71</v>
      </c>
      <c r="P79" s="122">
        <v>5</v>
      </c>
      <c r="Q79" s="123">
        <v>4045</v>
      </c>
      <c r="R79" s="14" t="s">
        <v>87</v>
      </c>
    </row>
    <row r="80" spans="1:18" ht="18.75" customHeight="1">
      <c r="A80" s="13" t="s">
        <v>88</v>
      </c>
      <c r="B80" s="119">
        <f>_xlfn.COMPOUNDVALUE(933)</f>
        <v>1072</v>
      </c>
      <c r="C80" s="120">
        <v>3005676</v>
      </c>
      <c r="D80" s="119">
        <f>_xlfn.COMPOUNDVALUE(934)</f>
        <v>653</v>
      </c>
      <c r="E80" s="120">
        <v>291467</v>
      </c>
      <c r="F80" s="119">
        <f>_xlfn.COMPOUNDVALUE(935)</f>
        <v>1725</v>
      </c>
      <c r="G80" s="120">
        <v>3297143</v>
      </c>
      <c r="H80" s="119">
        <f>_xlfn.COMPOUNDVALUE(936)</f>
        <v>63</v>
      </c>
      <c r="I80" s="121">
        <v>107794</v>
      </c>
      <c r="J80" s="119">
        <v>87</v>
      </c>
      <c r="K80" s="121">
        <v>21781</v>
      </c>
      <c r="L80" s="119">
        <v>1812</v>
      </c>
      <c r="M80" s="121">
        <v>3211131</v>
      </c>
      <c r="N80" s="119">
        <v>1798</v>
      </c>
      <c r="O80" s="122">
        <v>45</v>
      </c>
      <c r="P80" s="122">
        <v>3</v>
      </c>
      <c r="Q80" s="123">
        <v>1846</v>
      </c>
      <c r="R80" s="14" t="s">
        <v>88</v>
      </c>
    </row>
    <row r="81" spans="1:18" ht="18.75" customHeight="1">
      <c r="A81" s="13" t="s">
        <v>89</v>
      </c>
      <c r="B81" s="119">
        <f>_xlfn.COMPOUNDVALUE(937)</f>
        <v>1131</v>
      </c>
      <c r="C81" s="120">
        <v>4359855</v>
      </c>
      <c r="D81" s="119">
        <f>_xlfn.COMPOUNDVALUE(938)</f>
        <v>549</v>
      </c>
      <c r="E81" s="120">
        <v>248007</v>
      </c>
      <c r="F81" s="119">
        <f>_xlfn.COMPOUNDVALUE(939)</f>
        <v>1680</v>
      </c>
      <c r="G81" s="120">
        <v>4607862</v>
      </c>
      <c r="H81" s="119">
        <f>_xlfn.COMPOUNDVALUE(940)</f>
        <v>185</v>
      </c>
      <c r="I81" s="121">
        <v>1148203</v>
      </c>
      <c r="J81" s="119">
        <v>118</v>
      </c>
      <c r="K81" s="121">
        <v>17153</v>
      </c>
      <c r="L81" s="119">
        <v>1895</v>
      </c>
      <c r="M81" s="121">
        <v>3476812</v>
      </c>
      <c r="N81" s="119">
        <v>1889</v>
      </c>
      <c r="O81" s="122">
        <v>86</v>
      </c>
      <c r="P81" s="122">
        <v>8</v>
      </c>
      <c r="Q81" s="123">
        <v>1983</v>
      </c>
      <c r="R81" s="14" t="s">
        <v>89</v>
      </c>
    </row>
    <row r="82" spans="1:18" ht="18.75" customHeight="1">
      <c r="A82" s="13" t="s">
        <v>90</v>
      </c>
      <c r="B82" s="119">
        <f>_xlfn.COMPOUNDVALUE(941)</f>
        <v>2024</v>
      </c>
      <c r="C82" s="120">
        <v>8292126</v>
      </c>
      <c r="D82" s="119">
        <f>_xlfn.COMPOUNDVALUE(942)</f>
        <v>1039</v>
      </c>
      <c r="E82" s="120">
        <v>485270</v>
      </c>
      <c r="F82" s="119">
        <f>_xlfn.COMPOUNDVALUE(943)</f>
        <v>3063</v>
      </c>
      <c r="G82" s="120">
        <v>8777396</v>
      </c>
      <c r="H82" s="119">
        <f>_xlfn.COMPOUNDVALUE(944)</f>
        <v>157</v>
      </c>
      <c r="I82" s="121">
        <v>703371</v>
      </c>
      <c r="J82" s="119">
        <v>180</v>
      </c>
      <c r="K82" s="121">
        <v>38401</v>
      </c>
      <c r="L82" s="119">
        <v>3263</v>
      </c>
      <c r="M82" s="121">
        <v>8112426</v>
      </c>
      <c r="N82" s="119">
        <v>3165</v>
      </c>
      <c r="O82" s="122">
        <v>99</v>
      </c>
      <c r="P82" s="122">
        <v>7</v>
      </c>
      <c r="Q82" s="123">
        <v>3271</v>
      </c>
      <c r="R82" s="14" t="s">
        <v>90</v>
      </c>
    </row>
    <row r="83" spans="1:18" ht="18.75" customHeight="1">
      <c r="A83" s="13" t="s">
        <v>91</v>
      </c>
      <c r="B83" s="119">
        <f>_xlfn.COMPOUNDVALUE(945)</f>
        <v>779</v>
      </c>
      <c r="C83" s="120">
        <v>2965362</v>
      </c>
      <c r="D83" s="119">
        <f>_xlfn.COMPOUNDVALUE(946)</f>
        <v>386</v>
      </c>
      <c r="E83" s="120">
        <v>182624</v>
      </c>
      <c r="F83" s="119">
        <f>_xlfn.COMPOUNDVALUE(947)</f>
        <v>1165</v>
      </c>
      <c r="G83" s="120">
        <v>3147986</v>
      </c>
      <c r="H83" s="119">
        <f>_xlfn.COMPOUNDVALUE(948)</f>
        <v>49</v>
      </c>
      <c r="I83" s="121">
        <v>304712</v>
      </c>
      <c r="J83" s="119">
        <v>105</v>
      </c>
      <c r="K83" s="121">
        <v>43794</v>
      </c>
      <c r="L83" s="119">
        <v>1248</v>
      </c>
      <c r="M83" s="121">
        <v>2887068</v>
      </c>
      <c r="N83" s="119">
        <v>1247</v>
      </c>
      <c r="O83" s="122">
        <v>40</v>
      </c>
      <c r="P83" s="122">
        <v>3</v>
      </c>
      <c r="Q83" s="123">
        <v>1290</v>
      </c>
      <c r="R83" s="14" t="s">
        <v>91</v>
      </c>
    </row>
    <row r="84" spans="1:18" ht="18.75" customHeight="1">
      <c r="A84" s="13" t="s">
        <v>92</v>
      </c>
      <c r="B84" s="119">
        <f>_xlfn.COMPOUNDVALUE(949)</f>
        <v>1407</v>
      </c>
      <c r="C84" s="120">
        <v>5038213</v>
      </c>
      <c r="D84" s="119">
        <f>_xlfn.COMPOUNDVALUE(950)</f>
        <v>857</v>
      </c>
      <c r="E84" s="120">
        <v>362765</v>
      </c>
      <c r="F84" s="119">
        <f>_xlfn.COMPOUNDVALUE(951)</f>
        <v>2264</v>
      </c>
      <c r="G84" s="120">
        <v>5400979</v>
      </c>
      <c r="H84" s="119">
        <f>_xlfn.COMPOUNDVALUE(952)</f>
        <v>92</v>
      </c>
      <c r="I84" s="121">
        <v>678154</v>
      </c>
      <c r="J84" s="119">
        <v>231</v>
      </c>
      <c r="K84" s="121">
        <v>4947</v>
      </c>
      <c r="L84" s="119">
        <v>2388</v>
      </c>
      <c r="M84" s="121">
        <v>4727771</v>
      </c>
      <c r="N84" s="119">
        <v>2463</v>
      </c>
      <c r="O84" s="122">
        <v>66</v>
      </c>
      <c r="P84" s="122">
        <v>2</v>
      </c>
      <c r="Q84" s="123">
        <v>2531</v>
      </c>
      <c r="R84" s="14" t="s">
        <v>92</v>
      </c>
    </row>
    <row r="85" spans="1:18" s="17" customFormat="1" ht="18.75" customHeight="1">
      <c r="A85" s="15" t="s">
        <v>93</v>
      </c>
      <c r="B85" s="124">
        <v>72483</v>
      </c>
      <c r="C85" s="125">
        <v>400600855</v>
      </c>
      <c r="D85" s="124">
        <v>38020</v>
      </c>
      <c r="E85" s="125">
        <v>19596847</v>
      </c>
      <c r="F85" s="124">
        <v>110503</v>
      </c>
      <c r="G85" s="125">
        <v>420197702</v>
      </c>
      <c r="H85" s="124">
        <v>8694</v>
      </c>
      <c r="I85" s="126">
        <v>77617648</v>
      </c>
      <c r="J85" s="124">
        <v>8522</v>
      </c>
      <c r="K85" s="126">
        <v>1377536</v>
      </c>
      <c r="L85" s="124">
        <v>121560</v>
      </c>
      <c r="M85" s="126">
        <v>343957591</v>
      </c>
      <c r="N85" s="124">
        <v>124141</v>
      </c>
      <c r="O85" s="127">
        <v>4745</v>
      </c>
      <c r="P85" s="127">
        <v>407</v>
      </c>
      <c r="Q85" s="128">
        <v>129293</v>
      </c>
      <c r="R85" s="16" t="s">
        <v>123</v>
      </c>
    </row>
    <row r="86" spans="1:18" s="30" customFormat="1" ht="18.75" customHeight="1">
      <c r="A86" s="23"/>
      <c r="B86" s="129"/>
      <c r="C86" s="130"/>
      <c r="D86" s="129"/>
      <c r="E86" s="130"/>
      <c r="F86" s="131"/>
      <c r="G86" s="130"/>
      <c r="H86" s="131"/>
      <c r="I86" s="130"/>
      <c r="J86" s="131"/>
      <c r="K86" s="130"/>
      <c r="L86" s="131"/>
      <c r="M86" s="130"/>
      <c r="N86" s="132"/>
      <c r="O86" s="133"/>
      <c r="P86" s="133"/>
      <c r="Q86" s="134"/>
      <c r="R86" s="36" t="s">
        <v>119</v>
      </c>
    </row>
    <row r="87" spans="1:18" ht="18.75" customHeight="1">
      <c r="A87" s="13" t="s">
        <v>94</v>
      </c>
      <c r="B87" s="119">
        <f>_xlfn.COMPOUNDVALUE(953)</f>
        <v>7406</v>
      </c>
      <c r="C87" s="120">
        <v>27209827</v>
      </c>
      <c r="D87" s="119">
        <f>_xlfn.COMPOUNDVALUE(954)</f>
        <v>4202</v>
      </c>
      <c r="E87" s="120">
        <v>2161560</v>
      </c>
      <c r="F87" s="119">
        <f>_xlfn.COMPOUNDVALUE(955)</f>
        <v>11608</v>
      </c>
      <c r="G87" s="120">
        <v>29371387</v>
      </c>
      <c r="H87" s="119">
        <f>_xlfn.COMPOUNDVALUE(956)</f>
        <v>836</v>
      </c>
      <c r="I87" s="121">
        <v>4703587</v>
      </c>
      <c r="J87" s="119">
        <v>976</v>
      </c>
      <c r="K87" s="121">
        <v>179449</v>
      </c>
      <c r="L87" s="119">
        <v>12648</v>
      </c>
      <c r="M87" s="121">
        <v>24847248</v>
      </c>
      <c r="N87" s="138">
        <v>13110</v>
      </c>
      <c r="O87" s="139">
        <v>440</v>
      </c>
      <c r="P87" s="139">
        <v>36</v>
      </c>
      <c r="Q87" s="140">
        <v>13586</v>
      </c>
      <c r="R87" s="25" t="s">
        <v>94</v>
      </c>
    </row>
    <row r="88" spans="1:18" ht="18.75" customHeight="1">
      <c r="A88" s="13" t="s">
        <v>95</v>
      </c>
      <c r="B88" s="119">
        <f>_xlfn.COMPOUNDVALUE(957)</f>
        <v>5946</v>
      </c>
      <c r="C88" s="120">
        <v>19047805</v>
      </c>
      <c r="D88" s="119">
        <f>_xlfn.COMPOUNDVALUE(958)</f>
        <v>2968</v>
      </c>
      <c r="E88" s="120">
        <v>1415686</v>
      </c>
      <c r="F88" s="119">
        <f>_xlfn.COMPOUNDVALUE(959)</f>
        <v>8914</v>
      </c>
      <c r="G88" s="120">
        <v>20463491</v>
      </c>
      <c r="H88" s="119">
        <f>_xlfn.COMPOUNDVALUE(960)</f>
        <v>490</v>
      </c>
      <c r="I88" s="121">
        <v>2010441</v>
      </c>
      <c r="J88" s="119">
        <v>614</v>
      </c>
      <c r="K88" s="121">
        <v>135356</v>
      </c>
      <c r="L88" s="119">
        <v>9560</v>
      </c>
      <c r="M88" s="121">
        <v>18588406</v>
      </c>
      <c r="N88" s="119">
        <v>9476</v>
      </c>
      <c r="O88" s="122">
        <v>307</v>
      </c>
      <c r="P88" s="122">
        <v>28</v>
      </c>
      <c r="Q88" s="123">
        <v>9811</v>
      </c>
      <c r="R88" s="14" t="s">
        <v>95</v>
      </c>
    </row>
    <row r="89" spans="1:18" ht="18.75" customHeight="1">
      <c r="A89" s="13" t="s">
        <v>96</v>
      </c>
      <c r="B89" s="119">
        <f>_xlfn.COMPOUNDVALUE(961)</f>
        <v>2072</v>
      </c>
      <c r="C89" s="120">
        <v>5949931</v>
      </c>
      <c r="D89" s="119">
        <f>_xlfn.COMPOUNDVALUE(962)</f>
        <v>854</v>
      </c>
      <c r="E89" s="120">
        <v>393579</v>
      </c>
      <c r="F89" s="119">
        <f>_xlfn.COMPOUNDVALUE(963)</f>
        <v>2926</v>
      </c>
      <c r="G89" s="120">
        <v>6343510</v>
      </c>
      <c r="H89" s="119">
        <f>_xlfn.COMPOUNDVALUE(964)</f>
        <v>138</v>
      </c>
      <c r="I89" s="121">
        <v>375154</v>
      </c>
      <c r="J89" s="119">
        <v>226</v>
      </c>
      <c r="K89" s="121">
        <v>58761</v>
      </c>
      <c r="L89" s="119">
        <v>3116</v>
      </c>
      <c r="M89" s="121">
        <v>6027117</v>
      </c>
      <c r="N89" s="119">
        <v>3315</v>
      </c>
      <c r="O89" s="122">
        <v>68</v>
      </c>
      <c r="P89" s="122">
        <v>10</v>
      </c>
      <c r="Q89" s="123">
        <v>3393</v>
      </c>
      <c r="R89" s="14" t="s">
        <v>96</v>
      </c>
    </row>
    <row r="90" spans="1:18" ht="18.75" customHeight="1">
      <c r="A90" s="13" t="s">
        <v>97</v>
      </c>
      <c r="B90" s="119">
        <f>_xlfn.COMPOUNDVALUE(965)</f>
        <v>806</v>
      </c>
      <c r="C90" s="120">
        <v>2400890</v>
      </c>
      <c r="D90" s="119">
        <f>_xlfn.COMPOUNDVALUE(966)</f>
        <v>502</v>
      </c>
      <c r="E90" s="120">
        <v>211083</v>
      </c>
      <c r="F90" s="119">
        <f>_xlfn.COMPOUNDVALUE(967)</f>
        <v>1308</v>
      </c>
      <c r="G90" s="120">
        <v>2611973</v>
      </c>
      <c r="H90" s="119">
        <f>_xlfn.COMPOUNDVALUE(968)</f>
        <v>39</v>
      </c>
      <c r="I90" s="121">
        <v>35163</v>
      </c>
      <c r="J90" s="119">
        <v>154</v>
      </c>
      <c r="K90" s="121">
        <v>20013</v>
      </c>
      <c r="L90" s="119">
        <v>1372</v>
      </c>
      <c r="M90" s="121">
        <v>2596822</v>
      </c>
      <c r="N90" s="119">
        <v>1589</v>
      </c>
      <c r="O90" s="122">
        <v>31</v>
      </c>
      <c r="P90" s="122">
        <v>2</v>
      </c>
      <c r="Q90" s="123">
        <v>1622</v>
      </c>
      <c r="R90" s="14" t="s">
        <v>97</v>
      </c>
    </row>
    <row r="91" spans="1:18" s="17" customFormat="1" ht="18.75" customHeight="1">
      <c r="A91" s="15" t="s">
        <v>98</v>
      </c>
      <c r="B91" s="124">
        <v>16230</v>
      </c>
      <c r="C91" s="125">
        <v>54608452</v>
      </c>
      <c r="D91" s="124">
        <v>8526</v>
      </c>
      <c r="E91" s="125">
        <v>4181909</v>
      </c>
      <c r="F91" s="124">
        <v>24756</v>
      </c>
      <c r="G91" s="125">
        <v>58790361</v>
      </c>
      <c r="H91" s="124">
        <v>1503</v>
      </c>
      <c r="I91" s="126">
        <v>7124345</v>
      </c>
      <c r="J91" s="124">
        <v>1970</v>
      </c>
      <c r="K91" s="126">
        <v>393578</v>
      </c>
      <c r="L91" s="124">
        <v>26696</v>
      </c>
      <c r="M91" s="126">
        <v>52059594</v>
      </c>
      <c r="N91" s="124">
        <v>27490</v>
      </c>
      <c r="O91" s="127">
        <v>846</v>
      </c>
      <c r="P91" s="127">
        <v>76</v>
      </c>
      <c r="Q91" s="128">
        <v>28412</v>
      </c>
      <c r="R91" s="16" t="s">
        <v>124</v>
      </c>
    </row>
    <row r="92" spans="1:18" s="30" customFormat="1" ht="18.75" customHeight="1">
      <c r="A92" s="23"/>
      <c r="B92" s="129"/>
      <c r="C92" s="130"/>
      <c r="D92" s="129"/>
      <c r="E92" s="130"/>
      <c r="F92" s="131"/>
      <c r="G92" s="130"/>
      <c r="H92" s="131"/>
      <c r="I92" s="130"/>
      <c r="J92" s="131"/>
      <c r="K92" s="130"/>
      <c r="L92" s="131"/>
      <c r="M92" s="130"/>
      <c r="N92" s="141"/>
      <c r="O92" s="142"/>
      <c r="P92" s="142"/>
      <c r="Q92" s="143"/>
      <c r="R92" s="34" t="s">
        <v>119</v>
      </c>
    </row>
    <row r="93" spans="1:18" ht="18.75" customHeight="1">
      <c r="A93" s="11" t="s">
        <v>99</v>
      </c>
      <c r="B93" s="114">
        <f>_xlfn.COMPOUNDVALUE(969)</f>
        <v>5636</v>
      </c>
      <c r="C93" s="115">
        <v>27302875</v>
      </c>
      <c r="D93" s="114">
        <f>_xlfn.COMPOUNDVALUE(970)</f>
        <v>2966</v>
      </c>
      <c r="E93" s="115">
        <v>1511670</v>
      </c>
      <c r="F93" s="114">
        <f>_xlfn.COMPOUNDVALUE(971)</f>
        <v>8602</v>
      </c>
      <c r="G93" s="115">
        <v>28814545</v>
      </c>
      <c r="H93" s="114">
        <f>_xlfn.COMPOUNDVALUE(972)</f>
        <v>322</v>
      </c>
      <c r="I93" s="116">
        <v>2994425</v>
      </c>
      <c r="J93" s="114">
        <v>594</v>
      </c>
      <c r="K93" s="116">
        <v>-41802</v>
      </c>
      <c r="L93" s="114">
        <v>9043</v>
      </c>
      <c r="M93" s="116">
        <v>25778318</v>
      </c>
      <c r="N93" s="138">
        <v>9025</v>
      </c>
      <c r="O93" s="139">
        <v>190</v>
      </c>
      <c r="P93" s="139">
        <v>19</v>
      </c>
      <c r="Q93" s="140">
        <v>9234</v>
      </c>
      <c r="R93" s="25" t="s">
        <v>99</v>
      </c>
    </row>
    <row r="94" spans="1:18" ht="18.75" customHeight="1">
      <c r="A94" s="13" t="s">
        <v>100</v>
      </c>
      <c r="B94" s="119">
        <f>_xlfn.COMPOUNDVALUE(973)</f>
        <v>1026</v>
      </c>
      <c r="C94" s="120">
        <v>3798223</v>
      </c>
      <c r="D94" s="119">
        <f>_xlfn.COMPOUNDVALUE(974)</f>
        <v>612</v>
      </c>
      <c r="E94" s="120">
        <v>237959</v>
      </c>
      <c r="F94" s="119">
        <f>_xlfn.COMPOUNDVALUE(975)</f>
        <v>1638</v>
      </c>
      <c r="G94" s="120">
        <v>4036182</v>
      </c>
      <c r="H94" s="119">
        <f>_xlfn.COMPOUNDVALUE(976)</f>
        <v>49</v>
      </c>
      <c r="I94" s="121">
        <v>265338</v>
      </c>
      <c r="J94" s="119">
        <v>153</v>
      </c>
      <c r="K94" s="121">
        <v>18991</v>
      </c>
      <c r="L94" s="119">
        <v>1720</v>
      </c>
      <c r="M94" s="121">
        <v>3789835</v>
      </c>
      <c r="N94" s="114">
        <v>1699</v>
      </c>
      <c r="O94" s="117">
        <v>28</v>
      </c>
      <c r="P94" s="117">
        <v>5</v>
      </c>
      <c r="Q94" s="135">
        <v>1732</v>
      </c>
      <c r="R94" s="12" t="s">
        <v>100</v>
      </c>
    </row>
    <row r="95" spans="1:18" ht="18.75" customHeight="1">
      <c r="A95" s="13" t="s">
        <v>101</v>
      </c>
      <c r="B95" s="119">
        <f>_xlfn.COMPOUNDVALUE(977)</f>
        <v>1270</v>
      </c>
      <c r="C95" s="120">
        <v>3218943</v>
      </c>
      <c r="D95" s="119">
        <f>_xlfn.COMPOUNDVALUE(978)</f>
        <v>1140</v>
      </c>
      <c r="E95" s="120">
        <v>441574</v>
      </c>
      <c r="F95" s="119">
        <f>_xlfn.COMPOUNDVALUE(979)</f>
        <v>2410</v>
      </c>
      <c r="G95" s="120">
        <v>3660517</v>
      </c>
      <c r="H95" s="119">
        <f>_xlfn.COMPOUNDVALUE(980)</f>
        <v>65</v>
      </c>
      <c r="I95" s="121">
        <v>157914</v>
      </c>
      <c r="J95" s="119">
        <v>121</v>
      </c>
      <c r="K95" s="121">
        <v>19284</v>
      </c>
      <c r="L95" s="119">
        <v>2504</v>
      </c>
      <c r="M95" s="121">
        <v>3521887</v>
      </c>
      <c r="N95" s="114">
        <v>2586</v>
      </c>
      <c r="O95" s="117">
        <v>44</v>
      </c>
      <c r="P95" s="117">
        <v>6</v>
      </c>
      <c r="Q95" s="135">
        <v>2636</v>
      </c>
      <c r="R95" s="12" t="s">
        <v>101</v>
      </c>
    </row>
    <row r="96" spans="1:18" ht="18.75" customHeight="1">
      <c r="A96" s="13" t="s">
        <v>102</v>
      </c>
      <c r="B96" s="119">
        <f>_xlfn.COMPOUNDVALUE(981)</f>
        <v>1801</v>
      </c>
      <c r="C96" s="120">
        <v>5414633</v>
      </c>
      <c r="D96" s="119">
        <f>_xlfn.COMPOUNDVALUE(982)</f>
        <v>1366</v>
      </c>
      <c r="E96" s="120">
        <v>627402</v>
      </c>
      <c r="F96" s="119">
        <f>_xlfn.COMPOUNDVALUE(983)</f>
        <v>3167</v>
      </c>
      <c r="G96" s="120">
        <v>6042035</v>
      </c>
      <c r="H96" s="119">
        <f>_xlfn.COMPOUNDVALUE(984)</f>
        <v>117</v>
      </c>
      <c r="I96" s="121">
        <v>267831</v>
      </c>
      <c r="J96" s="119">
        <v>175</v>
      </c>
      <c r="K96" s="121">
        <v>19465</v>
      </c>
      <c r="L96" s="119">
        <v>3317</v>
      </c>
      <c r="M96" s="121">
        <v>5793669</v>
      </c>
      <c r="N96" s="114">
        <v>3647</v>
      </c>
      <c r="O96" s="117">
        <v>82</v>
      </c>
      <c r="P96" s="117">
        <v>3</v>
      </c>
      <c r="Q96" s="135">
        <v>3732</v>
      </c>
      <c r="R96" s="12" t="s">
        <v>102</v>
      </c>
    </row>
    <row r="97" spans="1:18" ht="18.75" customHeight="1">
      <c r="A97" s="13" t="s">
        <v>103</v>
      </c>
      <c r="B97" s="119">
        <f>_xlfn.COMPOUNDVALUE(985)</f>
        <v>1122</v>
      </c>
      <c r="C97" s="120">
        <v>2416161</v>
      </c>
      <c r="D97" s="119">
        <f>_xlfn.COMPOUNDVALUE(986)</f>
        <v>660</v>
      </c>
      <c r="E97" s="120">
        <v>267285</v>
      </c>
      <c r="F97" s="119">
        <f>_xlfn.COMPOUNDVALUE(987)</f>
        <v>1782</v>
      </c>
      <c r="G97" s="120">
        <v>2683446</v>
      </c>
      <c r="H97" s="119">
        <f>_xlfn.COMPOUNDVALUE(988)</f>
        <v>62</v>
      </c>
      <c r="I97" s="121">
        <v>148547</v>
      </c>
      <c r="J97" s="119">
        <v>155</v>
      </c>
      <c r="K97" s="121">
        <v>24413</v>
      </c>
      <c r="L97" s="119">
        <v>1874</v>
      </c>
      <c r="M97" s="121">
        <v>2559312</v>
      </c>
      <c r="N97" s="114">
        <v>1878</v>
      </c>
      <c r="O97" s="117">
        <v>37</v>
      </c>
      <c r="P97" s="117">
        <v>5</v>
      </c>
      <c r="Q97" s="135">
        <v>1920</v>
      </c>
      <c r="R97" s="12" t="s">
        <v>103</v>
      </c>
    </row>
    <row r="98" spans="1:18" ht="18.75" customHeight="1">
      <c r="A98" s="13" t="s">
        <v>104</v>
      </c>
      <c r="B98" s="119">
        <f>_xlfn.COMPOUNDVALUE(989)</f>
        <v>2327</v>
      </c>
      <c r="C98" s="120">
        <v>6530501</v>
      </c>
      <c r="D98" s="119">
        <f>_xlfn.COMPOUNDVALUE(990)</f>
        <v>1324</v>
      </c>
      <c r="E98" s="120">
        <v>588645</v>
      </c>
      <c r="F98" s="119">
        <f>_xlfn.COMPOUNDVALUE(991)</f>
        <v>3651</v>
      </c>
      <c r="G98" s="120">
        <v>7119145</v>
      </c>
      <c r="H98" s="119">
        <f>_xlfn.COMPOUNDVALUE(992)</f>
        <v>116</v>
      </c>
      <c r="I98" s="121">
        <v>408072</v>
      </c>
      <c r="J98" s="119">
        <v>294</v>
      </c>
      <c r="K98" s="121">
        <v>50581</v>
      </c>
      <c r="L98" s="119">
        <v>3836</v>
      </c>
      <c r="M98" s="121">
        <v>6761655</v>
      </c>
      <c r="N98" s="114">
        <v>3844</v>
      </c>
      <c r="O98" s="117">
        <v>87</v>
      </c>
      <c r="P98" s="117">
        <v>4</v>
      </c>
      <c r="Q98" s="135">
        <v>3935</v>
      </c>
      <c r="R98" s="12" t="s">
        <v>104</v>
      </c>
    </row>
    <row r="99" spans="1:18" ht="18.75" customHeight="1">
      <c r="A99" s="13" t="s">
        <v>105</v>
      </c>
      <c r="B99" s="119">
        <f>_xlfn.COMPOUNDVALUE(993)</f>
        <v>1194</v>
      </c>
      <c r="C99" s="120">
        <v>4356019</v>
      </c>
      <c r="D99" s="119">
        <f>_xlfn.COMPOUNDVALUE(994)</f>
        <v>1314</v>
      </c>
      <c r="E99" s="120">
        <v>489199</v>
      </c>
      <c r="F99" s="119">
        <f>_xlfn.COMPOUNDVALUE(995)</f>
        <v>2508</v>
      </c>
      <c r="G99" s="120">
        <v>4845218</v>
      </c>
      <c r="H99" s="119">
        <f>_xlfn.COMPOUNDVALUE(996)</f>
        <v>64</v>
      </c>
      <c r="I99" s="121">
        <v>87947</v>
      </c>
      <c r="J99" s="119">
        <v>152</v>
      </c>
      <c r="K99" s="121">
        <v>47652</v>
      </c>
      <c r="L99" s="119">
        <v>2617</v>
      </c>
      <c r="M99" s="121">
        <v>4804923</v>
      </c>
      <c r="N99" s="114">
        <v>2795</v>
      </c>
      <c r="O99" s="117">
        <v>38</v>
      </c>
      <c r="P99" s="117">
        <v>2</v>
      </c>
      <c r="Q99" s="135">
        <v>2835</v>
      </c>
      <c r="R99" s="12" t="s">
        <v>105</v>
      </c>
    </row>
    <row r="100" spans="1:18" ht="18.75" customHeight="1">
      <c r="A100" s="15" t="s">
        <v>106</v>
      </c>
      <c r="B100" s="124">
        <v>14376</v>
      </c>
      <c r="C100" s="125">
        <v>53037355</v>
      </c>
      <c r="D100" s="124">
        <v>9382</v>
      </c>
      <c r="E100" s="125">
        <v>4163733</v>
      </c>
      <c r="F100" s="124">
        <v>23758</v>
      </c>
      <c r="G100" s="125">
        <v>57201088</v>
      </c>
      <c r="H100" s="124">
        <v>795</v>
      </c>
      <c r="I100" s="126">
        <v>4330073</v>
      </c>
      <c r="J100" s="124">
        <v>1644</v>
      </c>
      <c r="K100" s="126">
        <v>138584</v>
      </c>
      <c r="L100" s="124">
        <v>24911</v>
      </c>
      <c r="M100" s="126">
        <v>53009599</v>
      </c>
      <c r="N100" s="124">
        <v>25474</v>
      </c>
      <c r="O100" s="127">
        <v>506</v>
      </c>
      <c r="P100" s="127">
        <v>44</v>
      </c>
      <c r="Q100" s="128">
        <v>26024</v>
      </c>
      <c r="R100" s="16" t="s">
        <v>125</v>
      </c>
    </row>
    <row r="101" spans="1:18" ht="18.75" customHeight="1" thickBot="1">
      <c r="A101" s="18"/>
      <c r="B101" s="144"/>
      <c r="C101" s="145"/>
      <c r="D101" s="144"/>
      <c r="E101" s="145"/>
      <c r="F101" s="146"/>
      <c r="G101" s="145"/>
      <c r="H101" s="146"/>
      <c r="I101" s="145"/>
      <c r="J101" s="146"/>
      <c r="K101" s="145"/>
      <c r="L101" s="146"/>
      <c r="M101" s="145"/>
      <c r="N101" s="141"/>
      <c r="O101" s="142"/>
      <c r="P101" s="142"/>
      <c r="Q101" s="143"/>
      <c r="R101" s="34" t="s">
        <v>119</v>
      </c>
    </row>
    <row r="102" spans="1:18" ht="18.75" customHeight="1" thickBot="1" thickTop="1">
      <c r="A102" s="21" t="s">
        <v>118</v>
      </c>
      <c r="B102" s="147">
        <v>322483</v>
      </c>
      <c r="C102" s="148">
        <v>2330309218</v>
      </c>
      <c r="D102" s="147">
        <v>156701</v>
      </c>
      <c r="E102" s="148">
        <v>82520759</v>
      </c>
      <c r="F102" s="147">
        <v>479184</v>
      </c>
      <c r="G102" s="148">
        <v>2412829977</v>
      </c>
      <c r="H102" s="147">
        <v>35209</v>
      </c>
      <c r="I102" s="149">
        <v>591156577</v>
      </c>
      <c r="J102" s="147">
        <v>35246</v>
      </c>
      <c r="K102" s="149">
        <v>8566796</v>
      </c>
      <c r="L102" s="147">
        <v>523626</v>
      </c>
      <c r="M102" s="149">
        <v>1830240196</v>
      </c>
      <c r="N102" s="150">
        <v>537200</v>
      </c>
      <c r="O102" s="151">
        <v>18080</v>
      </c>
      <c r="P102" s="151">
        <v>2215</v>
      </c>
      <c r="Q102" s="152">
        <v>557495</v>
      </c>
      <c r="R102" s="35" t="s">
        <v>118</v>
      </c>
    </row>
    <row r="103" spans="1:11" ht="13.5">
      <c r="A103" s="193" t="s">
        <v>170</v>
      </c>
      <c r="B103" s="193"/>
      <c r="C103" s="193"/>
      <c r="D103" s="193"/>
      <c r="E103" s="193"/>
      <c r="F103" s="193"/>
      <c r="G103" s="193"/>
      <c r="H103" s="193"/>
      <c r="I103" s="193"/>
      <c r="J103" s="193"/>
      <c r="K103" s="193"/>
    </row>
  </sheetData>
  <sheetProtection/>
  <mergeCells count="16">
    <mergeCell ref="A2:I2"/>
    <mergeCell ref="A3:A5"/>
    <mergeCell ref="B3:G3"/>
    <mergeCell ref="H3:I4"/>
    <mergeCell ref="R3:R5"/>
    <mergeCell ref="B4:C4"/>
    <mergeCell ref="D4:E4"/>
    <mergeCell ref="F4:G4"/>
    <mergeCell ref="N4:N5"/>
    <mergeCell ref="A103:K103"/>
    <mergeCell ref="O4:O5"/>
    <mergeCell ref="P4:P5"/>
    <mergeCell ref="Q4:Q5"/>
    <mergeCell ref="J3:K4"/>
    <mergeCell ref="L3:M4"/>
    <mergeCell ref="N3:Q3"/>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68" r:id="rId1"/>
  <headerFooter alignWithMargins="0">
    <oddFooter>&amp;R&amp;12大阪国税局
消費税
(H29)</oddFooter>
  </headerFooter>
  <rowBreaks count="2" manualBreakCount="2">
    <brk id="38" max="255" man="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行政情報化プロジェクト</dc:creator>
  <cp:keywords/>
  <dc:description/>
  <cp:lastModifiedBy>国税庁</cp:lastModifiedBy>
  <cp:lastPrinted>2017-06-21T02:27:24Z</cp:lastPrinted>
  <dcterms:created xsi:type="dcterms:W3CDTF">2011-12-09T10:59:54Z</dcterms:created>
  <dcterms:modified xsi:type="dcterms:W3CDTF">2018-12-03T05:17:03Z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y fmtid="{D5CDD505-2E9C-101B-9397-08002B2CF9AE}" pid="4" name="ContentType">
    <vt:lpwstr>ドキュメント</vt:lpwstr>
  </property>
</Properties>
</file>