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82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'(4)税務署別(個人事業者）'!$A$1:$N$103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<sst xmlns="http://schemas.openxmlformats.org/spreadsheetml/2006/main" count="741" uniqueCount="181">
  <si>
    <t>(4)　税務署別課税状況</t>
  </si>
  <si>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</si>
  <si>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</si>
  <si>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</si>
  <si>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</si>
  <si>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</si>
  <si>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</si>
  <si>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</si>
  <si>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</si>
  <si>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</si>
  <si>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</si>
  <si>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</si>
  <si>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</si>
  <si>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</si>
  <si>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</si>
  <si>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</si>
  <si>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</si>
  <si>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</si>
  <si>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</si>
  <si>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</si>
  <si>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</si>
  <si>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</si>
  <si>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</si>
  <si>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</si>
  <si>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</si>
  <si>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</si>
  <si>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</si>
  <si>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</si>
  <si>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</si>
  <si>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</si>
  <si>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</si>
  <si>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</si>
  <si>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</si>
  <si>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</si>
  <si>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</si>
  <si>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</si>
  <si>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</si>
  <si>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</si>
  <si>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</si>
  <si>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</si>
  <si>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</si>
  <si>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</si>
  <si>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</si>
  <si>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</si>
  <si>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</si>
  <si>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</si>
  <si>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</si>
  <si>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</si>
  <si>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</si>
  <si>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</si>
  <si>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</si>
  <si>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</si>
  <si>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</si>
  <si>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</si>
  <si>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</si>
  <si>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</si>
  <si>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</si>
  <si>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</si>
  <si>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</si>
  <si>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</si>
  <si>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</si>
  <si>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</si>
  <si>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</si>
  <si>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</si>
  <si>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</si>
  <si>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</si>
  <si>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</si>
  <si>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</si>
  <si>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</si>
  <si>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</si>
  <si>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</si>
  <si>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</si>
  <si>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</si>
  <si>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</si>
  <si>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</si>
  <si>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</si>
  <si>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</si>
  <si>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</si>
  <si>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</si>
  <si>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</si>
  <si>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</si>
  <si>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</si>
  <si>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</si>
  <si>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</si>
  <si>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</si>
  <si>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</si>
  <si>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</si>
  <si>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</si>
  <si>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</si>
  <si>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</si>
  <si>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</si>
  <si>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</si>
  <si>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</si>
  <si>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</si>
  <si>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</si>
  <si>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</si>
  <si>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</si>
  <si>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</si>
  <si>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</si>
  <si>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</si>
  <si>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</si>
  <si>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</si>
  <si>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</si>
  <si>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</si>
  <si>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</si>
  <si>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</si>
  <si>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</si>
  <si>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</si>
  <si>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(4)　税務署別課税状況（続）</t>
  </si>
  <si>
    <t>　ロ　法　　　人</t>
  </si>
  <si>
    <t>税務署名</t>
  </si>
  <si>
    <t>滋賀県計</t>
  </si>
  <si>
    <t>　ハ　個人事業者と法人の合計</t>
  </si>
  <si>
    <t>課　税　事　業　者　等　届　出　件　数</t>
  </si>
  <si>
    <t>課税事業者
届出</t>
  </si>
  <si>
    <t>課税事業者
選択届出</t>
  </si>
  <si>
    <t>新設法人に
該当する旨
の届出</t>
  </si>
  <si>
    <t>合　　　計</t>
  </si>
  <si>
    <t>件数</t>
  </si>
  <si>
    <t>税　　　額
(①－②＋③)</t>
  </si>
  <si>
    <t>税　　額
(①－②＋③)</t>
  </si>
  <si>
    <t>総　計</t>
  </si>
  <si>
    <t/>
  </si>
  <si>
    <t>滋賀県計</t>
  </si>
  <si>
    <t>京都府計</t>
  </si>
  <si>
    <t>大阪府計</t>
  </si>
  <si>
    <t>兵庫県計</t>
  </si>
  <si>
    <t>奈良県計</t>
  </si>
  <si>
    <t>和歌山県計</t>
  </si>
  <si>
    <t>７　消　費　税</t>
  </si>
  <si>
    <t>区　　　分</t>
  </si>
  <si>
    <t>個　人　事　業　者</t>
  </si>
  <si>
    <t>件　　　数</t>
  </si>
  <si>
    <t>税　　　額</t>
  </si>
  <si>
    <t>件</t>
  </si>
  <si>
    <t>千円</t>
  </si>
  <si>
    <t>差引計</t>
  </si>
  <si>
    <t>実</t>
  </si>
  <si>
    <t>加算税</t>
  </si>
  <si>
    <t>(2)　課税状況の累年比較</t>
  </si>
  <si>
    <t>法　　　　　　　人</t>
  </si>
  <si>
    <t>合　　　　　　　計</t>
  </si>
  <si>
    <t>件　　数</t>
  </si>
  <si>
    <t>税　　額</t>
  </si>
  <si>
    <t>納税申告計</t>
  </si>
  <si>
    <t>(3)　課税事業者等届出件数</t>
  </si>
  <si>
    <t>課税事業者届出書</t>
  </si>
  <si>
    <t>課税事業者選択届出書</t>
  </si>
  <si>
    <t>新設法人に該当する旨の届出書</t>
  </si>
  <si>
    <t>合計</t>
  </si>
  <si>
    <t>（注）納税義務者でなくなった旨の届出書又は課税事業者選択不適用届出書を提出した者は含まない。</t>
  </si>
  <si>
    <t>平成23年度</t>
  </si>
  <si>
    <t>平成24年度</t>
  </si>
  <si>
    <t>平成25年度</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</si>
  <si>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</si>
  <si>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</si>
  <si>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</si>
  <si>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</si>
  <si>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</si>
  <si>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</si>
  <si>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</si>
  <si>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</si>
  <si>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</si>
  <si>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</si>
  <si>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</si>
  <si>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</si>
  <si>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京都府計</t>
  </si>
  <si>
    <t>大阪府計</t>
  </si>
  <si>
    <t>兵庫県計</t>
  </si>
  <si>
    <t>奈良県計</t>
  </si>
  <si>
    <t>和歌山県計</t>
  </si>
  <si>
    <t>総　計</t>
  </si>
  <si>
    <t>平成26年度</t>
  </si>
  <si>
    <t>（注）１  税関分は含まない。</t>
  </si>
  <si>
    <t>　　　２  「件数欄」の「実」は、実件数を示す。</t>
  </si>
  <si>
    <t>平成27年度</t>
  </si>
  <si>
    <t>調査対象等：　平成27年度末（平成28年３月31日現在）の届出件数を示している。</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</si>
  <si>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</si>
  <si>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</si>
  <si>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調査対象等：　「現年分」は、平成27年４月１日から平成28年３月31日までに終了した課税期間について、平成28年６
　　　　　　月30日現在の申告（国・地方公共団体等については平成28年９月30日までの申告を含む。）及び処理（更
　　　　　　正、決定等）による課税事績を「申告書及び決議書」に基づいて作成した。</t>
  </si>
  <si>
    <t>　　　　　　　「既往年分」は、平成27年３月31日以前に終了した課税期間について、平成27年７月１日から平成28年
　　　　　　６月30日までの間の申告（平成27年７月１日から同年９月30日までの間の国・地方公共団体等に係る申告
　　　　　　を除く。）及び処理（更正、決定等）による課税事績を「申告書及び決議書」に基づいて作成した。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</si>
</sst>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thin">
        <color indexed="23"/>
      </top>
      <bottom/>
    </border>
    <border>
      <left style="thin"/>
      <right style="medium"/>
      <top style="double"/>
      <bottom style="medium"/>
    </border>
    <border>
      <left style="thin"/>
      <right style="medium"/>
      <top style="thin">
        <color indexed="23"/>
      </top>
      <bottom style="thin">
        <color indexed="23"/>
      </botto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color indexed="63"/>
      </left>
      <right style="hair"/>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bottom style="medium"/>
    </border>
    <border>
      <left style="thin"/>
      <right style="thin"/>
      <top/>
      <bottom style="medium"/>
    </border>
    <border>
      <left style="thin"/>
      <right/>
      <top/>
      <bottom style="medium"/>
    </border>
    <border>
      <left style="thin"/>
      <right style="hair"/>
      <top style="hair">
        <color indexed="55"/>
      </top>
      <bottom style="medium"/>
    </border>
    <border>
      <left style="hair"/>
      <right style="medium"/>
      <top style="hair">
        <color indexed="55"/>
      </top>
      <bottom style="mediu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right/>
      <top style="medium"/>
      <botto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thin"/>
      <botto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medium"/>
      <right/>
      <top/>
      <bottom style="thin"/>
    </border>
    <border>
      <left style="thin"/>
      <right style="thin"/>
      <top style="medium"/>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220">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10" fillId="0" borderId="26" xfId="60" applyFont="1" applyFill="1" applyBorder="1" applyAlignment="1">
      <alignment horizontal="center" vertical="center"/>
      <protection/>
    </xf>
    <xf numFmtId="0" fontId="3" fillId="36" borderId="27" xfId="60" applyFont="1" applyFill="1" applyBorder="1" applyAlignment="1">
      <alignment horizontal="distributed" vertical="center"/>
      <protection/>
    </xf>
    <xf numFmtId="176" fontId="10" fillId="0" borderId="25" xfId="60" applyNumberFormat="1"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8" xfId="60" applyFont="1" applyBorder="1" applyAlignment="1">
      <alignment horizontal="center" vertical="center" wrapText="1"/>
      <protection/>
    </xf>
    <xf numFmtId="0" fontId="5" fillId="34" borderId="29"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10" fillId="0" borderId="30" xfId="60" applyFont="1" applyFill="1" applyBorder="1" applyAlignment="1">
      <alignment horizontal="center" vertical="center"/>
      <protection/>
    </xf>
    <xf numFmtId="0" fontId="8" fillId="0" borderId="31" xfId="60" applyFont="1" applyBorder="1" applyAlignment="1">
      <alignment horizontal="center" vertical="center"/>
      <protection/>
    </xf>
    <xf numFmtId="0" fontId="10" fillId="0" borderId="32" xfId="60" applyFont="1" applyFill="1" applyBorder="1" applyAlignment="1">
      <alignment horizontal="center" vertical="center"/>
      <protection/>
    </xf>
    <xf numFmtId="0" fontId="3" fillId="0" borderId="33" xfId="60" applyFont="1" applyBorder="1" applyAlignment="1">
      <alignment horizontal="distributed" vertical="center" indent="1"/>
      <protection/>
    </xf>
    <xf numFmtId="0" fontId="3" fillId="0" borderId="28" xfId="60" applyFont="1" applyBorder="1" applyAlignment="1">
      <alignment horizontal="distributed" vertical="center" indent="1"/>
      <protection/>
    </xf>
    <xf numFmtId="0" fontId="3" fillId="0" borderId="34" xfId="60" applyFont="1" applyBorder="1" applyAlignment="1">
      <alignment horizontal="centerContinuous" vertical="center" wrapText="1"/>
      <protection/>
    </xf>
    <xf numFmtId="0" fontId="3" fillId="0" borderId="34" xfId="60" applyFont="1" applyBorder="1" applyAlignment="1">
      <alignment horizontal="center" vertical="center"/>
      <protection/>
    </xf>
    <xf numFmtId="0" fontId="3" fillId="0" borderId="28" xfId="60" applyFont="1" applyBorder="1" applyAlignment="1">
      <alignment horizontal="center" vertical="center"/>
      <protection/>
    </xf>
    <xf numFmtId="176" fontId="2" fillId="0" borderId="0" xfId="60" applyNumberFormat="1" applyFont="1">
      <alignment/>
      <protection/>
    </xf>
    <xf numFmtId="0" fontId="12"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5"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5" xfId="60" applyFont="1" applyFill="1" applyBorder="1" applyAlignment="1">
      <alignment horizontal="right" vertical="top"/>
      <protection/>
    </xf>
    <xf numFmtId="0" fontId="3" fillId="0" borderId="36" xfId="60" applyFont="1" applyBorder="1" applyAlignment="1">
      <alignment horizontal="distributed" vertical="center"/>
      <protection/>
    </xf>
    <xf numFmtId="0" fontId="3" fillId="0" borderId="37" xfId="60" applyFont="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0" borderId="37" xfId="60" applyNumberFormat="1" applyFont="1" applyBorder="1" applyAlignment="1">
      <alignment horizontal="right" vertical="center"/>
      <protection/>
    </xf>
    <xf numFmtId="3" fontId="3" fillId="35" borderId="38" xfId="60" applyNumberFormat="1" applyFont="1" applyFill="1" applyBorder="1" applyAlignment="1">
      <alignment horizontal="right" vertical="center"/>
      <protection/>
    </xf>
    <xf numFmtId="0" fontId="3" fillId="0" borderId="39" xfId="60" applyFont="1" applyBorder="1" applyAlignment="1">
      <alignment horizontal="distributed" vertical="center"/>
      <protection/>
    </xf>
    <xf numFmtId="0" fontId="8" fillId="0" borderId="39" xfId="60" applyFont="1" applyBorder="1" applyAlignment="1">
      <alignment horizontal="distributed" vertical="center"/>
      <protection/>
    </xf>
    <xf numFmtId="0" fontId="8" fillId="0" borderId="37" xfId="60" applyFont="1" applyBorder="1" applyAlignment="1">
      <alignment horizontal="right" vertical="center"/>
      <protection/>
    </xf>
    <xf numFmtId="0" fontId="8" fillId="0" borderId="0" xfId="60" applyFont="1" applyAlignment="1">
      <alignment horizontal="left" vertical="top"/>
      <protection/>
    </xf>
    <xf numFmtId="0" fontId="3" fillId="0" borderId="40" xfId="60" applyFont="1" applyBorder="1" applyAlignment="1">
      <alignment horizontal="distributed" vertical="center"/>
      <protection/>
    </xf>
    <xf numFmtId="0" fontId="3" fillId="0" borderId="41"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41"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42" xfId="60" applyNumberFormat="1" applyFont="1" applyFill="1" applyBorder="1" applyAlignment="1">
      <alignment horizontal="right" vertical="center"/>
      <protection/>
    </xf>
    <xf numFmtId="0" fontId="3" fillId="0" borderId="39" xfId="60" applyFont="1" applyBorder="1" applyAlignment="1">
      <alignment horizontal="distributed" vertical="center" wrapText="1"/>
      <protection/>
    </xf>
    <xf numFmtId="0" fontId="3" fillId="0" borderId="37" xfId="60" applyFont="1" applyBorder="1" applyAlignment="1">
      <alignment horizontal="center" vertical="center"/>
      <protection/>
    </xf>
    <xf numFmtId="3" fontId="3" fillId="0" borderId="37" xfId="60" applyNumberFormat="1" applyFont="1" applyBorder="1" applyAlignment="1">
      <alignment horizontal="center" vertical="center"/>
      <protection/>
    </xf>
    <xf numFmtId="0" fontId="8" fillId="0" borderId="43" xfId="60" applyFont="1" applyBorder="1" applyAlignment="1">
      <alignment horizontal="right" vertical="center"/>
      <protection/>
    </xf>
    <xf numFmtId="0" fontId="3" fillId="0" borderId="44" xfId="60" applyFont="1" applyBorder="1" applyAlignment="1">
      <alignment horizontal="right" vertical="center"/>
      <protection/>
    </xf>
    <xf numFmtId="3" fontId="3" fillId="0" borderId="44" xfId="60" applyNumberFormat="1" applyFont="1" applyBorder="1" applyAlignment="1">
      <alignment horizontal="right" vertical="center"/>
      <protection/>
    </xf>
    <xf numFmtId="0" fontId="3" fillId="0" borderId="0" xfId="60" applyFont="1" applyAlignment="1" quotePrefix="1">
      <alignment horizontal="left" vertical="top"/>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5" xfId="60" applyFont="1" applyFill="1" applyBorder="1" applyAlignment="1">
      <alignment horizontal="right"/>
      <protection/>
    </xf>
    <xf numFmtId="0" fontId="3" fillId="0" borderId="0" xfId="60" applyFont="1" applyAlignment="1">
      <alignment horizontal="left"/>
      <protection/>
    </xf>
    <xf numFmtId="3" fontId="3" fillId="34" borderId="47"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8" xfId="60" applyNumberFormat="1" applyFont="1" applyFill="1" applyBorder="1" applyAlignment="1">
      <alignment horizontal="right" vertical="center"/>
      <protection/>
    </xf>
    <xf numFmtId="3" fontId="3" fillId="35" borderId="40" xfId="60" applyNumberFormat="1" applyFont="1" applyFill="1" applyBorder="1" applyAlignment="1">
      <alignment horizontal="right" vertical="center"/>
      <protection/>
    </xf>
    <xf numFmtId="3" fontId="3" fillId="35" borderId="49" xfId="60" applyNumberFormat="1" applyFont="1" applyFill="1" applyBorder="1" applyAlignment="1">
      <alignment horizontal="right" vertical="center"/>
      <protection/>
    </xf>
    <xf numFmtId="0" fontId="3" fillId="0" borderId="41" xfId="60" applyFont="1" applyBorder="1" applyAlignment="1">
      <alignment horizontal="distributed" vertical="center"/>
      <protection/>
    </xf>
    <xf numFmtId="3" fontId="3" fillId="34" borderId="50" xfId="60" applyNumberFormat="1" applyFont="1" applyFill="1" applyBorder="1" applyAlignment="1">
      <alignment horizontal="right" vertical="center"/>
      <protection/>
    </xf>
    <xf numFmtId="0" fontId="3" fillId="0" borderId="51"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52" xfId="60" applyFont="1" applyBorder="1" applyAlignment="1">
      <alignment horizontal="distributed" vertical="center"/>
      <protection/>
    </xf>
    <xf numFmtId="0" fontId="3" fillId="0" borderId="53" xfId="60" applyFont="1" applyBorder="1" applyAlignment="1">
      <alignment horizontal="distributed" vertical="center"/>
      <protection/>
    </xf>
    <xf numFmtId="0" fontId="3" fillId="0" borderId="54" xfId="60" applyFont="1" applyBorder="1" applyAlignment="1">
      <alignment horizontal="center" vertical="center"/>
      <protection/>
    </xf>
    <xf numFmtId="0" fontId="3" fillId="0" borderId="55" xfId="60" applyFont="1" applyBorder="1" applyAlignment="1">
      <alignment horizontal="distributed" vertical="center" indent="1"/>
      <protection/>
    </xf>
    <xf numFmtId="0" fontId="5" fillId="34" borderId="56" xfId="60" applyFont="1" applyFill="1" applyBorder="1" applyAlignment="1">
      <alignment horizontal="right"/>
      <protection/>
    </xf>
    <xf numFmtId="0" fontId="5" fillId="34" borderId="57" xfId="60" applyFont="1" applyFill="1" applyBorder="1" applyAlignment="1">
      <alignment horizontal="right"/>
      <protection/>
    </xf>
    <xf numFmtId="0" fontId="5" fillId="34" borderId="58"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3" fontId="3" fillId="34" borderId="59" xfId="60" applyNumberFormat="1" applyFont="1" applyFill="1" applyBorder="1" applyAlignment="1">
      <alignment horizontal="right" vertical="center"/>
      <protection/>
    </xf>
    <xf numFmtId="3" fontId="3" fillId="34" borderId="60" xfId="60" applyNumberFormat="1" applyFont="1" applyFill="1" applyBorder="1" applyAlignment="1">
      <alignment horizontal="right" vertical="center"/>
      <protection/>
    </xf>
    <xf numFmtId="3" fontId="3" fillId="35" borderId="39" xfId="60" applyNumberFormat="1" applyFont="1" applyFill="1" applyBorder="1" applyAlignment="1">
      <alignment horizontal="right" vertical="center"/>
      <protection/>
    </xf>
    <xf numFmtId="3" fontId="3" fillId="35" borderId="61" xfId="60" applyNumberFormat="1" applyFont="1" applyFill="1" applyBorder="1" applyAlignment="1">
      <alignment horizontal="right" vertical="center"/>
      <protection/>
    </xf>
    <xf numFmtId="3" fontId="8" fillId="34" borderId="60" xfId="60" applyNumberFormat="1" applyFont="1" applyFill="1" applyBorder="1" applyAlignment="1">
      <alignment horizontal="right" vertical="center"/>
      <protection/>
    </xf>
    <xf numFmtId="3" fontId="8" fillId="35" borderId="39" xfId="60" applyNumberFormat="1" applyFont="1" applyFill="1" applyBorder="1" applyAlignment="1">
      <alignment horizontal="right" vertical="center"/>
      <protection/>
    </xf>
    <xf numFmtId="3" fontId="3" fillId="34" borderId="62" xfId="60" applyNumberFormat="1" applyFont="1" applyFill="1" applyBorder="1" applyAlignment="1">
      <alignment horizontal="right" vertical="center"/>
      <protection/>
    </xf>
    <xf numFmtId="3" fontId="3" fillId="35" borderId="63" xfId="60" applyNumberFormat="1" applyFont="1" applyFill="1" applyBorder="1" applyAlignment="1">
      <alignment horizontal="right" vertical="center"/>
      <protection/>
    </xf>
    <xf numFmtId="3" fontId="3" fillId="34" borderId="64" xfId="60" applyNumberFormat="1" applyFont="1" applyFill="1" applyBorder="1" applyAlignment="1">
      <alignment horizontal="right" vertical="center"/>
      <protection/>
    </xf>
    <xf numFmtId="3" fontId="3" fillId="34" borderId="64" xfId="60" applyNumberFormat="1" applyFont="1" applyFill="1" applyBorder="1" applyAlignment="1">
      <alignment vertical="center"/>
      <protection/>
    </xf>
    <xf numFmtId="3" fontId="3" fillId="34" borderId="60" xfId="60" applyNumberFormat="1" applyFont="1" applyFill="1" applyBorder="1" applyAlignment="1">
      <alignment vertical="center"/>
      <protection/>
    </xf>
    <xf numFmtId="3" fontId="8" fillId="34" borderId="65" xfId="60" applyNumberFormat="1" applyFont="1" applyFill="1" applyBorder="1" applyAlignment="1">
      <alignment horizontal="right" vertical="center"/>
      <protection/>
    </xf>
    <xf numFmtId="3" fontId="8" fillId="35" borderId="66" xfId="60" applyNumberFormat="1" applyFont="1" applyFill="1" applyBorder="1" applyAlignment="1">
      <alignment horizontal="right" vertical="center"/>
      <protection/>
    </xf>
    <xf numFmtId="3" fontId="8" fillId="35" borderId="67" xfId="60" applyNumberFormat="1" applyFont="1" applyFill="1" applyBorder="1" applyAlignment="1">
      <alignment horizontal="right" vertical="center"/>
      <protection/>
    </xf>
    <xf numFmtId="3" fontId="3" fillId="34" borderId="68" xfId="60" applyNumberFormat="1" applyFont="1" applyFill="1" applyBorder="1" applyAlignment="1">
      <alignment horizontal="right" vertical="center"/>
      <protection/>
    </xf>
    <xf numFmtId="3" fontId="3" fillId="35" borderId="69"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176" fontId="3" fillId="34" borderId="47" xfId="60" applyNumberFormat="1" applyFont="1" applyFill="1" applyBorder="1" applyAlignment="1">
      <alignment horizontal="right" vertical="center"/>
      <protection/>
    </xf>
    <xf numFmtId="176" fontId="3" fillId="35" borderId="36" xfId="60" applyNumberFormat="1" applyFont="1" applyFill="1" applyBorder="1" applyAlignment="1">
      <alignment horizontal="right" vertical="center"/>
      <protection/>
    </xf>
    <xf numFmtId="176" fontId="3" fillId="35" borderId="71" xfId="60" applyNumberFormat="1" applyFont="1" applyFill="1" applyBorder="1" applyAlignment="1">
      <alignment horizontal="right" vertical="center"/>
      <protection/>
    </xf>
    <xf numFmtId="176" fontId="3" fillId="34" borderId="59" xfId="60" applyNumberFormat="1" applyFont="1" applyFill="1" applyBorder="1" applyAlignment="1">
      <alignment horizontal="right" vertical="center"/>
      <protection/>
    </xf>
    <xf numFmtId="176" fontId="3" fillId="34" borderId="36" xfId="60" applyNumberFormat="1" applyFont="1" applyFill="1" applyBorder="1" applyAlignment="1">
      <alignment horizontal="right" vertical="center"/>
      <protection/>
    </xf>
    <xf numFmtId="176" fontId="3" fillId="34" borderId="72" xfId="60" applyNumberFormat="1" applyFont="1" applyFill="1" applyBorder="1" applyAlignment="1">
      <alignment horizontal="right" vertical="center"/>
      <protection/>
    </xf>
    <xf numFmtId="176" fontId="3" fillId="35" borderId="39" xfId="60" applyNumberFormat="1" applyFont="1" applyFill="1" applyBorder="1" applyAlignment="1">
      <alignment horizontal="right" vertical="center"/>
      <protection/>
    </xf>
    <xf numFmtId="176" fontId="3" fillId="35" borderId="73" xfId="60" applyNumberFormat="1" applyFont="1" applyFill="1" applyBorder="1" applyAlignment="1">
      <alignment horizontal="right" vertical="center"/>
      <protection/>
    </xf>
    <xf numFmtId="176" fontId="3" fillId="34" borderId="60" xfId="60" applyNumberFormat="1" applyFont="1" applyFill="1" applyBorder="1" applyAlignment="1">
      <alignment horizontal="right" vertical="center"/>
      <protection/>
    </xf>
    <xf numFmtId="176" fontId="3" fillId="34" borderId="73" xfId="60" applyNumberFormat="1" applyFont="1" applyFill="1" applyBorder="1" applyAlignment="1">
      <alignment horizontal="right" vertical="center"/>
      <protection/>
    </xf>
    <xf numFmtId="176" fontId="8" fillId="34" borderId="74" xfId="60" applyNumberFormat="1" applyFont="1" applyFill="1" applyBorder="1" applyAlignment="1">
      <alignment horizontal="right" vertical="center"/>
      <protection/>
    </xf>
    <xf numFmtId="176" fontId="8" fillId="35" borderId="75" xfId="60" applyNumberFormat="1" applyFont="1" applyFill="1" applyBorder="1" applyAlignment="1">
      <alignment horizontal="right" vertical="center"/>
      <protection/>
    </xf>
    <xf numFmtId="176" fontId="8" fillId="35" borderId="76" xfId="60" applyNumberFormat="1" applyFont="1" applyFill="1" applyBorder="1" applyAlignment="1">
      <alignment horizontal="right" vertical="center"/>
      <protection/>
    </xf>
    <xf numFmtId="176" fontId="8" fillId="34" borderId="77" xfId="60" applyNumberFormat="1" applyFont="1" applyFill="1" applyBorder="1" applyAlignment="1">
      <alignment horizontal="right" vertical="center"/>
      <protection/>
    </xf>
    <xf numFmtId="176" fontId="8" fillId="34" borderId="76" xfId="60" applyNumberFormat="1" applyFont="1" applyFill="1" applyBorder="1" applyAlignment="1">
      <alignment horizontal="right" vertical="center"/>
      <protection/>
    </xf>
    <xf numFmtId="176" fontId="10" fillId="0" borderId="78" xfId="60" applyNumberFormat="1" applyFont="1" applyFill="1" applyBorder="1" applyAlignment="1">
      <alignment horizontal="right" vertical="center"/>
      <protection/>
    </xf>
    <xf numFmtId="176" fontId="10" fillId="0" borderId="79" xfId="60" applyNumberFormat="1" applyFont="1" applyFill="1" applyBorder="1" applyAlignment="1">
      <alignment horizontal="right" vertical="center"/>
      <protection/>
    </xf>
    <xf numFmtId="176" fontId="10" fillId="0" borderId="80" xfId="60" applyNumberFormat="1" applyFont="1" applyFill="1" applyBorder="1" applyAlignment="1">
      <alignment horizontal="right" vertical="center"/>
      <protection/>
    </xf>
    <xf numFmtId="176" fontId="3" fillId="0" borderId="81" xfId="60" applyNumberFormat="1" applyFont="1" applyFill="1" applyBorder="1" applyAlignment="1">
      <alignment horizontal="right" vertical="center"/>
      <protection/>
    </xf>
    <xf numFmtId="176" fontId="3" fillId="0" borderId="82" xfId="60" applyNumberFormat="1" applyFont="1" applyFill="1" applyBorder="1" applyAlignment="1">
      <alignment horizontal="right" vertical="center"/>
      <protection/>
    </xf>
    <xf numFmtId="176" fontId="3" fillId="0" borderId="83" xfId="60" applyNumberFormat="1" applyFont="1" applyFill="1" applyBorder="1" applyAlignment="1">
      <alignment horizontal="right" vertical="center"/>
      <protection/>
    </xf>
    <xf numFmtId="176" fontId="3" fillId="34" borderId="71" xfId="60" applyNumberFormat="1" applyFont="1" applyFill="1" applyBorder="1" applyAlignment="1">
      <alignment horizontal="right" vertical="center"/>
      <protection/>
    </xf>
    <xf numFmtId="176" fontId="3" fillId="34" borderId="84" xfId="60" applyNumberFormat="1" applyFont="1" applyFill="1" applyBorder="1" applyAlignment="1">
      <alignment horizontal="right" vertical="center"/>
      <protection/>
    </xf>
    <xf numFmtId="176" fontId="3" fillId="28" borderId="71" xfId="60" applyNumberFormat="1" applyFont="1" applyFill="1" applyBorder="1" applyAlignment="1">
      <alignment horizontal="right" vertical="center"/>
      <protection/>
    </xf>
    <xf numFmtId="176" fontId="3" fillId="34" borderId="85" xfId="60" applyNumberFormat="1" applyFont="1" applyFill="1" applyBorder="1" applyAlignment="1">
      <alignment horizontal="right" vertical="center"/>
      <protection/>
    </xf>
    <xf numFmtId="176" fontId="3" fillId="34" borderId="86" xfId="60" applyNumberFormat="1" applyFont="1" applyFill="1" applyBorder="1" applyAlignment="1">
      <alignment horizontal="right" vertical="center"/>
      <protection/>
    </xf>
    <xf numFmtId="176" fontId="3" fillId="34" borderId="87" xfId="60" applyNumberFormat="1" applyFont="1" applyFill="1" applyBorder="1" applyAlignment="1">
      <alignment horizontal="right" vertical="center"/>
      <protection/>
    </xf>
    <xf numFmtId="176" fontId="3" fillId="0" borderId="88" xfId="60" applyNumberFormat="1" applyFont="1" applyFill="1" applyBorder="1" applyAlignment="1">
      <alignment horizontal="right" vertical="center"/>
      <protection/>
    </xf>
    <xf numFmtId="176" fontId="3" fillId="0" borderId="89" xfId="60" applyNumberFormat="1" applyFont="1" applyFill="1" applyBorder="1" applyAlignment="1">
      <alignment horizontal="right" vertical="center"/>
      <protection/>
    </xf>
    <xf numFmtId="176" fontId="3" fillId="0" borderId="90" xfId="60" applyNumberFormat="1" applyFont="1" applyFill="1" applyBorder="1" applyAlignment="1">
      <alignment horizontal="right" vertical="center"/>
      <protection/>
    </xf>
    <xf numFmtId="176" fontId="3" fillId="0" borderId="91"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8" fillId="34" borderId="44" xfId="60" applyNumberFormat="1" applyFont="1" applyFill="1" applyBorder="1" applyAlignment="1">
      <alignment horizontal="right" vertical="center"/>
      <protection/>
    </xf>
    <xf numFmtId="176" fontId="8" fillId="35" borderId="69" xfId="60" applyNumberFormat="1" applyFont="1" applyFill="1" applyBorder="1" applyAlignment="1">
      <alignment horizontal="right" vertical="center"/>
      <protection/>
    </xf>
    <xf numFmtId="176" fontId="8" fillId="35" borderId="94" xfId="60" applyNumberFormat="1" applyFont="1" applyFill="1" applyBorder="1" applyAlignment="1">
      <alignment horizontal="right" vertical="center"/>
      <protection/>
    </xf>
    <xf numFmtId="176" fontId="8" fillId="34" borderId="95" xfId="60" applyNumberFormat="1" applyFont="1" applyFill="1" applyBorder="1" applyAlignment="1">
      <alignment horizontal="right" vertical="center"/>
      <protection/>
    </xf>
    <xf numFmtId="176" fontId="8" fillId="34" borderId="96" xfId="60" applyNumberFormat="1" applyFont="1" applyFill="1" applyBorder="1" applyAlignment="1">
      <alignment horizontal="right" vertical="center"/>
      <protection/>
    </xf>
    <xf numFmtId="176" fontId="8" fillId="34" borderId="97" xfId="60" applyNumberFormat="1" applyFont="1" applyFill="1" applyBorder="1" applyAlignment="1">
      <alignment horizontal="right" vertical="center"/>
      <protection/>
    </xf>
    <xf numFmtId="3" fontId="3" fillId="34" borderId="98" xfId="60" applyNumberFormat="1" applyFont="1" applyFill="1" applyBorder="1" applyAlignment="1">
      <alignment horizontal="right" vertical="center" indent="1"/>
      <protection/>
    </xf>
    <xf numFmtId="3" fontId="3" fillId="34" borderId="99" xfId="60" applyNumberFormat="1" applyFont="1" applyFill="1" applyBorder="1" applyAlignment="1">
      <alignment horizontal="right" vertical="center" indent="1"/>
      <protection/>
    </xf>
    <xf numFmtId="3" fontId="3" fillId="34" borderId="100" xfId="60" applyNumberFormat="1" applyFont="1" applyFill="1" applyBorder="1" applyAlignment="1">
      <alignment horizontal="right" vertical="center" indent="1"/>
      <protection/>
    </xf>
    <xf numFmtId="3" fontId="3" fillId="34" borderId="24" xfId="60" applyNumberFormat="1" applyFont="1" applyFill="1" applyBorder="1" applyAlignment="1">
      <alignment horizontal="right" vertical="center" indent="1"/>
      <protection/>
    </xf>
    <xf numFmtId="3" fontId="3" fillId="34" borderId="101" xfId="60" applyNumberFormat="1" applyFont="1" applyFill="1" applyBorder="1" applyAlignment="1">
      <alignment horizontal="right" vertical="center"/>
      <protection/>
    </xf>
    <xf numFmtId="3" fontId="3" fillId="35" borderId="51" xfId="60" applyNumberFormat="1" applyFont="1" applyFill="1" applyBorder="1" applyAlignment="1">
      <alignment horizontal="right" vertical="center"/>
      <protection/>
    </xf>
    <xf numFmtId="3" fontId="3" fillId="35" borderId="102" xfId="60" applyNumberFormat="1" applyFont="1" applyFill="1" applyBorder="1" applyAlignment="1">
      <alignment horizontal="right" vertical="center"/>
      <protection/>
    </xf>
    <xf numFmtId="3" fontId="8" fillId="35" borderId="61" xfId="60" applyNumberFormat="1" applyFont="1" applyFill="1" applyBorder="1" applyAlignment="1">
      <alignment horizontal="right" vertical="center"/>
      <protection/>
    </xf>
    <xf numFmtId="0" fontId="3" fillId="0" borderId="103" xfId="60" applyFont="1" applyBorder="1" applyAlignment="1">
      <alignment horizontal="distributed" vertical="center" wrapText="1"/>
      <protection/>
    </xf>
    <xf numFmtId="0" fontId="3" fillId="0" borderId="103" xfId="60" applyFont="1" applyBorder="1" applyAlignment="1">
      <alignment horizontal="distributed" vertical="center"/>
      <protection/>
    </xf>
    <xf numFmtId="0" fontId="3" fillId="0" borderId="104" xfId="60" applyFont="1" applyBorder="1" applyAlignment="1">
      <alignment horizontal="distributed" vertical="center"/>
      <protection/>
    </xf>
    <xf numFmtId="0" fontId="3" fillId="0" borderId="105" xfId="60" applyFont="1" applyBorder="1" applyAlignment="1">
      <alignment horizontal="distributed" vertical="center" wrapText="1"/>
      <protection/>
    </xf>
    <xf numFmtId="0" fontId="3" fillId="0" borderId="106" xfId="60" applyFont="1" applyBorder="1" applyAlignment="1">
      <alignment horizontal="distributed" vertical="center"/>
      <protection/>
    </xf>
    <xf numFmtId="0" fontId="8" fillId="0" borderId="107" xfId="60" applyFont="1" applyBorder="1" applyAlignment="1">
      <alignment horizontal="distributed" vertical="center"/>
      <protection/>
    </xf>
    <xf numFmtId="0" fontId="8" fillId="0" borderId="108"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09" xfId="60" applyFont="1" applyBorder="1" applyAlignment="1">
      <alignment horizontal="distributed" vertical="center"/>
      <protection/>
    </xf>
    <xf numFmtId="0" fontId="3" fillId="0" borderId="110" xfId="60" applyFont="1" applyBorder="1" applyAlignment="1">
      <alignment vertical="top" wrapText="1"/>
      <protection/>
    </xf>
    <xf numFmtId="0" fontId="3" fillId="0" borderId="0" xfId="60" applyFont="1" applyAlignment="1">
      <alignment vertical="top" wrapText="1"/>
      <protection/>
    </xf>
    <xf numFmtId="0" fontId="12" fillId="0" borderId="0" xfId="60" applyFont="1" applyAlignment="1">
      <alignment horizontal="center" vertical="top"/>
      <protection/>
    </xf>
    <xf numFmtId="0" fontId="3" fillId="0" borderId="0" xfId="60" applyFont="1" applyAlignment="1">
      <alignment horizontal="left" vertical="top"/>
      <protection/>
    </xf>
    <xf numFmtId="0" fontId="3" fillId="0" borderId="111" xfId="60" applyFont="1" applyBorder="1" applyAlignment="1">
      <alignment horizontal="center"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15" xfId="60" applyFont="1" applyBorder="1" applyAlignment="1">
      <alignment horizontal="center" vertical="center"/>
      <protection/>
    </xf>
    <xf numFmtId="0" fontId="3" fillId="0" borderId="116" xfId="60" applyFont="1" applyBorder="1" applyAlignment="1">
      <alignment horizontal="center" vertical="center"/>
      <protection/>
    </xf>
    <xf numFmtId="0" fontId="3" fillId="0" borderId="117"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119" xfId="60" applyFont="1" applyBorder="1" applyAlignment="1">
      <alignment horizontal="center" vertical="center"/>
      <protection/>
    </xf>
    <xf numFmtId="0" fontId="3" fillId="0" borderId="104" xfId="60" applyFont="1" applyBorder="1" applyAlignment="1">
      <alignment horizontal="center" vertical="center"/>
      <protection/>
    </xf>
    <xf numFmtId="0" fontId="3" fillId="0" borderId="105" xfId="60" applyFont="1" applyBorder="1" applyAlignment="1">
      <alignment horizontal="center" vertical="center"/>
      <protection/>
    </xf>
    <xf numFmtId="0" fontId="3" fillId="0" borderId="120"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110"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110" xfId="60" applyFont="1" applyBorder="1" applyAlignment="1">
      <alignment horizontal="left" vertical="center"/>
      <protection/>
    </xf>
    <xf numFmtId="0" fontId="3" fillId="0" borderId="0" xfId="60" applyFont="1" applyAlignment="1">
      <alignment horizontal="left" vertical="center"/>
      <protection/>
    </xf>
    <xf numFmtId="0" fontId="3" fillId="0" borderId="125" xfId="60" applyFont="1" applyBorder="1" applyAlignment="1">
      <alignment horizontal="center" vertical="center"/>
      <protection/>
    </xf>
    <xf numFmtId="0" fontId="3" fillId="0" borderId="126" xfId="60" applyFont="1" applyBorder="1" applyAlignment="1">
      <alignment horizontal="center" vertical="center"/>
      <protection/>
    </xf>
    <xf numFmtId="0" fontId="3" fillId="0" borderId="127" xfId="60" applyFont="1" applyBorder="1" applyAlignment="1">
      <alignment horizontal="center" vertical="center"/>
      <protection/>
    </xf>
    <xf numFmtId="0" fontId="3" fillId="0" borderId="128" xfId="60" applyFont="1" applyBorder="1" applyAlignment="1">
      <alignment horizontal="center" vertical="center"/>
      <protection/>
    </xf>
    <xf numFmtId="0" fontId="3" fillId="0" borderId="111" xfId="60" applyFont="1" applyBorder="1" applyAlignment="1">
      <alignment horizontal="distributed" vertical="center"/>
      <protection/>
    </xf>
    <xf numFmtId="0" fontId="3" fillId="0" borderId="113" xfId="60" applyFont="1" applyBorder="1" applyAlignment="1">
      <alignment horizontal="distributed" vertical="center"/>
      <protection/>
    </xf>
    <xf numFmtId="0" fontId="3" fillId="0" borderId="129" xfId="60" applyFont="1" applyBorder="1" applyAlignment="1">
      <alignment horizontal="distributed" vertical="center"/>
      <protection/>
    </xf>
    <xf numFmtId="0" fontId="3" fillId="0" borderId="130" xfId="60" applyFont="1" applyBorder="1" applyAlignment="1">
      <alignment horizontal="center" vertical="center"/>
      <protection/>
    </xf>
    <xf numFmtId="0" fontId="3" fillId="0" borderId="55" xfId="60" applyFont="1" applyBorder="1" applyAlignment="1">
      <alignment horizontal="distributed" vertical="center" wrapText="1"/>
      <protection/>
    </xf>
    <xf numFmtId="0" fontId="3" fillId="0" borderId="131" xfId="60" applyFont="1" applyBorder="1" applyAlignment="1">
      <alignment horizontal="distributed" vertical="center" wrapText="1"/>
      <protection/>
    </xf>
    <xf numFmtId="0" fontId="3" fillId="0" borderId="132" xfId="60" applyFont="1" applyBorder="1" applyAlignment="1">
      <alignment horizontal="distributed" vertical="center" wrapText="1"/>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3" fillId="0" borderId="125" xfId="60" applyFont="1" applyBorder="1" applyAlignment="1">
      <alignment horizontal="center" vertical="center" wrapText="1"/>
      <protection/>
    </xf>
    <xf numFmtId="0" fontId="3" fillId="0" borderId="135" xfId="60" applyFont="1" applyBorder="1" applyAlignment="1">
      <alignment horizontal="left" vertical="center"/>
      <protection/>
    </xf>
    <xf numFmtId="0" fontId="3" fillId="0" borderId="136" xfId="60" applyFont="1" applyBorder="1" applyAlignment="1">
      <alignment horizontal="distributed" vertical="center" wrapText="1"/>
      <protection/>
    </xf>
    <xf numFmtId="0" fontId="3" fillId="0" borderId="137" xfId="60" applyFont="1" applyBorder="1" applyAlignment="1">
      <alignment horizontal="distributed" vertical="center"/>
      <protection/>
    </xf>
    <xf numFmtId="0" fontId="3" fillId="0" borderId="138" xfId="60" applyFont="1" applyBorder="1" applyAlignment="1">
      <alignment horizontal="distributed" vertical="center" wrapText="1"/>
      <protection/>
    </xf>
    <xf numFmtId="0" fontId="3" fillId="0" borderId="139" xfId="60" applyFont="1" applyBorder="1" applyAlignment="1">
      <alignment horizontal="distributed" vertical="center" wrapText="1"/>
      <protection/>
    </xf>
    <xf numFmtId="0" fontId="3" fillId="0" borderId="34" xfId="60" applyFont="1" applyBorder="1" applyAlignment="1">
      <alignment horizontal="center" vertical="center"/>
      <protection/>
    </xf>
    <xf numFmtId="0" fontId="3" fillId="0" borderId="130" xfId="60" applyFont="1" applyBorder="1" applyAlignment="1">
      <alignment horizontal="center" vertical="center" wrapText="1"/>
      <protection/>
    </xf>
    <xf numFmtId="0" fontId="3" fillId="0" borderId="140" xfId="60" applyFont="1" applyBorder="1" applyAlignment="1">
      <alignment horizontal="center" vertical="center"/>
      <protection/>
    </xf>
    <xf numFmtId="0" fontId="3" fillId="0" borderId="141" xfId="60" applyFont="1" applyBorder="1" applyAlignment="1">
      <alignment horizontal="center" vertical="center"/>
      <protection/>
    </xf>
    <xf numFmtId="0" fontId="3" fillId="0" borderId="142" xfId="60" applyFont="1" applyBorder="1" applyAlignment="1">
      <alignment horizontal="distributed" vertical="center" wrapText="1"/>
      <protection/>
    </xf>
    <xf numFmtId="0" fontId="3" fillId="0" borderId="143"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view="pageBreakPreview" zoomScale="115" zoomScaleSheetLayoutView="115" zoomScalePageLayoutView="0" workbookViewId="0" topLeftCell="A1">
      <selection activeCell="A1" sqref="A1:K1"/>
    </sheetView>
  </sheetViews>
  <sheetFormatPr defaultColWidth="5.8515625" defaultRowHeight="15"/>
  <cols>
    <col min="1" max="1" width="9.8515625" style="2" customWidth="1"/>
    <col min="2" max="2" width="17.28125" style="2" customWidth="1"/>
    <col min="3" max="3" width="2.8515625" style="2" customWidth="1"/>
    <col min="4" max="4" width="7.421875" style="2" customWidth="1"/>
    <col min="5" max="5" width="12.57421875" style="2" customWidth="1"/>
    <col min="6" max="6" width="2.8515625" style="2" customWidth="1"/>
    <col min="7" max="7" width="7.421875" style="2" customWidth="1"/>
    <col min="8" max="8" width="12.57421875" style="2" customWidth="1"/>
    <col min="9" max="9" width="2.8515625" style="2" customWidth="1"/>
    <col min="10" max="10" width="7.421875" style="2" customWidth="1"/>
    <col min="11" max="11" width="12.57421875" style="2" customWidth="1"/>
    <col min="12" max="16384" width="5.8515625" style="2" customWidth="1"/>
  </cols>
  <sheetData>
    <row r="1" spans="1:11" ht="15">
      <c r="A1" s="172" t="s">
        <v>129</v>
      </c>
      <c r="B1" s="172"/>
      <c r="C1" s="172"/>
      <c r="D1" s="172"/>
      <c r="E1" s="172"/>
      <c r="F1" s="172"/>
      <c r="G1" s="172"/>
      <c r="H1" s="172"/>
      <c r="I1" s="172"/>
      <c r="J1" s="172"/>
      <c r="K1" s="172"/>
    </row>
    <row r="2" spans="1:11" ht="15">
      <c r="A2" s="43"/>
      <c r="B2" s="43"/>
      <c r="C2" s="43"/>
      <c r="D2" s="43"/>
      <c r="E2" s="43"/>
      <c r="F2" s="43"/>
      <c r="G2" s="43"/>
      <c r="H2" s="43"/>
      <c r="I2" s="43"/>
      <c r="J2" s="43"/>
      <c r="K2" s="43"/>
    </row>
    <row r="3" spans="1:11" ht="12" thickBot="1">
      <c r="A3" s="173" t="s">
        <v>154</v>
      </c>
      <c r="B3" s="173"/>
      <c r="C3" s="173"/>
      <c r="D3" s="173"/>
      <c r="E3" s="173"/>
      <c r="F3" s="173"/>
      <c r="G3" s="173"/>
      <c r="H3" s="173"/>
      <c r="I3" s="173"/>
      <c r="J3" s="173"/>
      <c r="K3" s="173"/>
    </row>
    <row r="4" spans="1:11" ht="24" customHeight="1">
      <c r="A4" s="174" t="s">
        <v>130</v>
      </c>
      <c r="B4" s="175"/>
      <c r="C4" s="178" t="s">
        <v>155</v>
      </c>
      <c r="D4" s="179"/>
      <c r="E4" s="180"/>
      <c r="F4" s="178" t="s">
        <v>156</v>
      </c>
      <c r="G4" s="179"/>
      <c r="H4" s="180"/>
      <c r="I4" s="178" t="s">
        <v>157</v>
      </c>
      <c r="J4" s="179"/>
      <c r="K4" s="181"/>
    </row>
    <row r="5" spans="1:11" ht="24" customHeight="1">
      <c r="A5" s="176"/>
      <c r="B5" s="177"/>
      <c r="C5" s="182" t="s">
        <v>132</v>
      </c>
      <c r="D5" s="183"/>
      <c r="E5" s="44" t="s">
        <v>133</v>
      </c>
      <c r="F5" s="182" t="s">
        <v>132</v>
      </c>
      <c r="G5" s="183"/>
      <c r="H5" s="44" t="s">
        <v>133</v>
      </c>
      <c r="I5" s="182" t="s">
        <v>132</v>
      </c>
      <c r="J5" s="183"/>
      <c r="K5" s="45" t="s">
        <v>133</v>
      </c>
    </row>
    <row r="6" spans="1:11" ht="12" customHeight="1">
      <c r="A6" s="46"/>
      <c r="B6" s="47"/>
      <c r="C6" s="48"/>
      <c r="D6" s="32" t="s">
        <v>134</v>
      </c>
      <c r="E6" s="7" t="s">
        <v>135</v>
      </c>
      <c r="F6" s="48"/>
      <c r="G6" s="32" t="s">
        <v>134</v>
      </c>
      <c r="H6" s="7" t="s">
        <v>135</v>
      </c>
      <c r="I6" s="48"/>
      <c r="J6" s="32" t="s">
        <v>134</v>
      </c>
      <c r="K6" s="49" t="s">
        <v>135</v>
      </c>
    </row>
    <row r="7" spans="1:11" ht="30" customHeight="1">
      <c r="A7" s="161" t="s">
        <v>158</v>
      </c>
      <c r="B7" s="50" t="s">
        <v>159</v>
      </c>
      <c r="C7" s="51"/>
      <c r="D7" s="97">
        <v>100549</v>
      </c>
      <c r="E7" s="52">
        <v>60020600</v>
      </c>
      <c r="F7" s="53"/>
      <c r="G7" s="97">
        <v>214962</v>
      </c>
      <c r="H7" s="52">
        <v>2106328774</v>
      </c>
      <c r="I7" s="53"/>
      <c r="J7" s="97">
        <v>315511</v>
      </c>
      <c r="K7" s="54">
        <v>2166349373</v>
      </c>
    </row>
    <row r="8" spans="1:11" ht="30" customHeight="1">
      <c r="A8" s="162"/>
      <c r="B8" s="55" t="s">
        <v>160</v>
      </c>
      <c r="C8" s="51"/>
      <c r="D8" s="98">
        <v>93921</v>
      </c>
      <c r="E8" s="99">
        <v>40379118</v>
      </c>
      <c r="F8" s="53"/>
      <c r="G8" s="98">
        <v>68476</v>
      </c>
      <c r="H8" s="99">
        <v>41656304</v>
      </c>
      <c r="I8" s="53"/>
      <c r="J8" s="98">
        <v>162397</v>
      </c>
      <c r="K8" s="100">
        <v>82035421</v>
      </c>
    </row>
    <row r="9" spans="1:11" s="58" customFormat="1" ht="30" customHeight="1">
      <c r="A9" s="162"/>
      <c r="B9" s="56" t="s">
        <v>161</v>
      </c>
      <c r="C9" s="57"/>
      <c r="D9" s="101">
        <v>194470</v>
      </c>
      <c r="E9" s="102">
        <v>100399718</v>
      </c>
      <c r="F9" s="57"/>
      <c r="G9" s="101">
        <v>283438</v>
      </c>
      <c r="H9" s="102">
        <v>2147985077</v>
      </c>
      <c r="I9" s="57"/>
      <c r="J9" s="101">
        <v>477908</v>
      </c>
      <c r="K9" s="160">
        <v>2248384795</v>
      </c>
    </row>
    <row r="10" spans="1:11" ht="30" customHeight="1">
      <c r="A10" s="163"/>
      <c r="B10" s="59" t="s">
        <v>162</v>
      </c>
      <c r="C10" s="51"/>
      <c r="D10" s="103">
        <v>7550</v>
      </c>
      <c r="E10" s="104">
        <v>6179978</v>
      </c>
      <c r="F10" s="51"/>
      <c r="G10" s="103">
        <v>25727</v>
      </c>
      <c r="H10" s="104">
        <v>536553648</v>
      </c>
      <c r="I10" s="51"/>
      <c r="J10" s="98">
        <v>33277</v>
      </c>
      <c r="K10" s="100">
        <v>542733626</v>
      </c>
    </row>
    <row r="11" spans="1:11" ht="30" customHeight="1">
      <c r="A11" s="164" t="s">
        <v>163</v>
      </c>
      <c r="B11" s="60" t="s">
        <v>164</v>
      </c>
      <c r="C11" s="61"/>
      <c r="D11" s="105">
        <v>13604</v>
      </c>
      <c r="E11" s="62">
        <v>3363655</v>
      </c>
      <c r="F11" s="63"/>
      <c r="G11" s="106">
        <v>15563</v>
      </c>
      <c r="H11" s="62">
        <v>7320251</v>
      </c>
      <c r="I11" s="63"/>
      <c r="J11" s="106">
        <v>29167</v>
      </c>
      <c r="K11" s="64">
        <v>10683905</v>
      </c>
    </row>
    <row r="12" spans="1:11" ht="30" customHeight="1">
      <c r="A12" s="165"/>
      <c r="B12" s="65" t="s">
        <v>165</v>
      </c>
      <c r="C12" s="66"/>
      <c r="D12" s="98">
        <v>1384</v>
      </c>
      <c r="E12" s="99">
        <v>355304</v>
      </c>
      <c r="F12" s="67"/>
      <c r="G12" s="107">
        <v>2657</v>
      </c>
      <c r="H12" s="99">
        <v>3541791</v>
      </c>
      <c r="I12" s="67"/>
      <c r="J12" s="107">
        <v>4041</v>
      </c>
      <c r="K12" s="100">
        <v>3897095</v>
      </c>
    </row>
    <row r="13" spans="1:11" s="58" customFormat="1" ht="30" customHeight="1">
      <c r="A13" s="166" t="s">
        <v>136</v>
      </c>
      <c r="B13" s="167"/>
      <c r="C13" s="68" t="s">
        <v>137</v>
      </c>
      <c r="D13" s="108">
        <v>208115</v>
      </c>
      <c r="E13" s="109">
        <v>97228090</v>
      </c>
      <c r="F13" s="68" t="s">
        <v>137</v>
      </c>
      <c r="G13" s="108">
        <v>311207</v>
      </c>
      <c r="H13" s="109">
        <v>1615209889</v>
      </c>
      <c r="I13" s="68" t="s">
        <v>137</v>
      </c>
      <c r="J13" s="108">
        <v>519322</v>
      </c>
      <c r="K13" s="110">
        <v>1712437979</v>
      </c>
    </row>
    <row r="14" spans="1:11" ht="30" customHeight="1" thickBot="1">
      <c r="A14" s="168" t="s">
        <v>138</v>
      </c>
      <c r="B14" s="169"/>
      <c r="C14" s="69"/>
      <c r="D14" s="111">
        <v>14326</v>
      </c>
      <c r="E14" s="112">
        <v>577025</v>
      </c>
      <c r="F14" s="70"/>
      <c r="G14" s="111">
        <v>12661</v>
      </c>
      <c r="H14" s="112">
        <v>1191880</v>
      </c>
      <c r="I14" s="70"/>
      <c r="J14" s="111">
        <v>26987</v>
      </c>
      <c r="K14" s="113">
        <v>1768905</v>
      </c>
    </row>
    <row r="15" spans="1:11" s="1" customFormat="1" ht="34.5" customHeight="1">
      <c r="A15" s="170" t="s">
        <v>179</v>
      </c>
      <c r="B15" s="170"/>
      <c r="C15" s="170"/>
      <c r="D15" s="170"/>
      <c r="E15" s="170"/>
      <c r="F15" s="170"/>
      <c r="G15" s="170"/>
      <c r="H15" s="170"/>
      <c r="I15" s="170"/>
      <c r="J15" s="170"/>
      <c r="K15" s="170"/>
    </row>
    <row r="16" spans="1:11" ht="35.25" customHeight="1">
      <c r="A16" s="171" t="s">
        <v>180</v>
      </c>
      <c r="B16" s="171"/>
      <c r="C16" s="171"/>
      <c r="D16" s="171"/>
      <c r="E16" s="171"/>
      <c r="F16" s="171"/>
      <c r="G16" s="171"/>
      <c r="H16" s="171"/>
      <c r="I16" s="171"/>
      <c r="J16" s="171"/>
      <c r="K16" s="171"/>
    </row>
    <row r="17" ht="12.75" customHeight="1">
      <c r="A17" s="2" t="s">
        <v>173</v>
      </c>
    </row>
    <row r="18" ht="11.25">
      <c r="A18" s="71" t="s">
        <v>174</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A15:K15"/>
    <mergeCell ref="A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&amp;R&amp;10大阪国税局
消費税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view="pageBreakPreview" zoomScale="130" zoomScaleSheetLayoutView="130" zoomScalePageLayoutView="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139</v>
      </c>
    </row>
    <row r="2" spans="1:8" s="2" customFormat="1" ht="15" customHeight="1">
      <c r="A2" s="174" t="s">
        <v>130</v>
      </c>
      <c r="B2" s="175"/>
      <c r="C2" s="188" t="s">
        <v>131</v>
      </c>
      <c r="D2" s="188"/>
      <c r="E2" s="188" t="s">
        <v>140</v>
      </c>
      <c r="F2" s="188"/>
      <c r="G2" s="189" t="s">
        <v>141</v>
      </c>
      <c r="H2" s="190"/>
    </row>
    <row r="3" spans="1:8" s="2" customFormat="1" ht="15" customHeight="1">
      <c r="A3" s="176"/>
      <c r="B3" s="177"/>
      <c r="C3" s="61" t="s">
        <v>142</v>
      </c>
      <c r="D3" s="44" t="s">
        <v>143</v>
      </c>
      <c r="E3" s="61" t="s">
        <v>142</v>
      </c>
      <c r="F3" s="72" t="s">
        <v>143</v>
      </c>
      <c r="G3" s="61" t="s">
        <v>142</v>
      </c>
      <c r="H3" s="73" t="s">
        <v>143</v>
      </c>
    </row>
    <row r="4" spans="1:8" s="78" customFormat="1" ht="15" customHeight="1">
      <c r="A4" s="74"/>
      <c r="B4" s="44"/>
      <c r="C4" s="75" t="s">
        <v>16</v>
      </c>
      <c r="D4" s="76" t="s">
        <v>17</v>
      </c>
      <c r="E4" s="75" t="s">
        <v>16</v>
      </c>
      <c r="F4" s="76" t="s">
        <v>17</v>
      </c>
      <c r="G4" s="75" t="s">
        <v>16</v>
      </c>
      <c r="H4" s="77" t="s">
        <v>17</v>
      </c>
    </row>
    <row r="5" spans="1:8" s="80" customFormat="1" ht="30" customHeight="1">
      <c r="A5" s="191" t="s">
        <v>151</v>
      </c>
      <c r="B5" s="50" t="s">
        <v>144</v>
      </c>
      <c r="C5" s="79">
        <v>212971</v>
      </c>
      <c r="D5" s="52">
        <v>67400211</v>
      </c>
      <c r="E5" s="79">
        <v>288344</v>
      </c>
      <c r="F5" s="52">
        <v>1350697953</v>
      </c>
      <c r="G5" s="79">
        <v>501315</v>
      </c>
      <c r="H5" s="54">
        <v>1418098165</v>
      </c>
    </row>
    <row r="6" spans="1:8" s="80" customFormat="1" ht="30" customHeight="1">
      <c r="A6" s="192"/>
      <c r="B6" s="59" t="s">
        <v>4</v>
      </c>
      <c r="C6" s="81">
        <v>7051</v>
      </c>
      <c r="D6" s="82">
        <v>3475100</v>
      </c>
      <c r="E6" s="81">
        <v>22720</v>
      </c>
      <c r="F6" s="82">
        <v>298969507</v>
      </c>
      <c r="G6" s="81">
        <v>29771</v>
      </c>
      <c r="H6" s="83">
        <v>302444606</v>
      </c>
    </row>
    <row r="7" spans="1:8" s="80" customFormat="1" ht="30" customHeight="1">
      <c r="A7" s="184" t="s">
        <v>152</v>
      </c>
      <c r="B7" s="84" t="s">
        <v>144</v>
      </c>
      <c r="C7" s="85">
        <v>202559</v>
      </c>
      <c r="D7" s="62">
        <v>66553009</v>
      </c>
      <c r="E7" s="85">
        <v>284893</v>
      </c>
      <c r="F7" s="62">
        <v>1325040445</v>
      </c>
      <c r="G7" s="85">
        <v>487452</v>
      </c>
      <c r="H7" s="64">
        <v>1391593453</v>
      </c>
    </row>
    <row r="8" spans="1:8" s="80" customFormat="1" ht="30" customHeight="1">
      <c r="A8" s="185"/>
      <c r="B8" s="59" t="s">
        <v>4</v>
      </c>
      <c r="C8" s="81">
        <v>6684</v>
      </c>
      <c r="D8" s="82">
        <v>3023372</v>
      </c>
      <c r="E8" s="81">
        <v>22120</v>
      </c>
      <c r="F8" s="82">
        <v>290601699</v>
      </c>
      <c r="G8" s="81">
        <v>28804</v>
      </c>
      <c r="H8" s="83">
        <v>293625071</v>
      </c>
    </row>
    <row r="9" spans="1:8" s="80" customFormat="1" ht="30" customHeight="1">
      <c r="A9" s="191" t="s">
        <v>153</v>
      </c>
      <c r="B9" s="84" t="s">
        <v>144</v>
      </c>
      <c r="C9" s="85">
        <v>198192</v>
      </c>
      <c r="D9" s="62">
        <v>65158565</v>
      </c>
      <c r="E9" s="85">
        <v>283367</v>
      </c>
      <c r="F9" s="62">
        <v>1323465720</v>
      </c>
      <c r="G9" s="85">
        <v>481559</v>
      </c>
      <c r="H9" s="64">
        <v>1388624285</v>
      </c>
    </row>
    <row r="10" spans="1:8" s="80" customFormat="1" ht="30" customHeight="1">
      <c r="A10" s="192"/>
      <c r="B10" s="59" t="s">
        <v>4</v>
      </c>
      <c r="C10" s="81">
        <v>6869</v>
      </c>
      <c r="D10" s="82">
        <v>3382572</v>
      </c>
      <c r="E10" s="81">
        <v>22679</v>
      </c>
      <c r="F10" s="82">
        <v>289985206</v>
      </c>
      <c r="G10" s="81">
        <v>29548</v>
      </c>
      <c r="H10" s="83">
        <v>293367779</v>
      </c>
    </row>
    <row r="11" spans="1:8" s="80" customFormat="1" ht="30" customHeight="1">
      <c r="A11" s="184" t="s">
        <v>172</v>
      </c>
      <c r="B11" s="84" t="s">
        <v>144</v>
      </c>
      <c r="C11" s="85">
        <v>195600</v>
      </c>
      <c r="D11" s="62">
        <v>90720974</v>
      </c>
      <c r="E11" s="85">
        <v>282890</v>
      </c>
      <c r="F11" s="62">
        <v>1880262994</v>
      </c>
      <c r="G11" s="85">
        <v>478490</v>
      </c>
      <c r="H11" s="64">
        <v>1970983967</v>
      </c>
    </row>
    <row r="12" spans="1:8" s="80" customFormat="1" ht="30" customHeight="1">
      <c r="A12" s="185"/>
      <c r="B12" s="59" t="s">
        <v>4</v>
      </c>
      <c r="C12" s="81">
        <v>7342</v>
      </c>
      <c r="D12" s="82">
        <v>5035032</v>
      </c>
      <c r="E12" s="81">
        <v>24440</v>
      </c>
      <c r="F12" s="82">
        <v>521553655</v>
      </c>
      <c r="G12" s="81">
        <v>31782</v>
      </c>
      <c r="H12" s="83">
        <v>526588687</v>
      </c>
    </row>
    <row r="13" spans="1:8" s="2" customFormat="1" ht="30" customHeight="1">
      <c r="A13" s="186" t="s">
        <v>175</v>
      </c>
      <c r="B13" s="84" t="s">
        <v>144</v>
      </c>
      <c r="C13" s="85">
        <v>194470</v>
      </c>
      <c r="D13" s="62">
        <v>100399718</v>
      </c>
      <c r="E13" s="85">
        <v>283438</v>
      </c>
      <c r="F13" s="62">
        <v>2147985077</v>
      </c>
      <c r="G13" s="85">
        <v>477908</v>
      </c>
      <c r="H13" s="64">
        <v>2248384795</v>
      </c>
    </row>
    <row r="14" spans="1:8" s="2" customFormat="1" ht="30" customHeight="1" thickBot="1">
      <c r="A14" s="187"/>
      <c r="B14" s="86" t="s">
        <v>4</v>
      </c>
      <c r="C14" s="157">
        <v>7550</v>
      </c>
      <c r="D14" s="158">
        <v>6179978</v>
      </c>
      <c r="E14" s="157">
        <v>25727</v>
      </c>
      <c r="F14" s="158">
        <v>536553648</v>
      </c>
      <c r="G14" s="157">
        <v>33277</v>
      </c>
      <c r="H14" s="159">
        <v>542733626</v>
      </c>
    </row>
    <row r="15" spans="5:7" s="2" customFormat="1" ht="11.25">
      <c r="E15" s="87"/>
      <c r="G15" s="87"/>
    </row>
    <row r="16" spans="5:7" s="2" customFormat="1" ht="11.25">
      <c r="E16" s="87"/>
      <c r="G16" s="87"/>
    </row>
    <row r="17" spans="5:7" s="2" customFormat="1" ht="11.25">
      <c r="E17" s="87"/>
      <c r="G17" s="87"/>
    </row>
    <row r="18" spans="5:7" s="2" customFormat="1" ht="11.25">
      <c r="E18" s="87"/>
      <c r="G18" s="87"/>
    </row>
    <row r="19" spans="5:7" s="2" customFormat="1" ht="11.25">
      <c r="E19" s="87"/>
      <c r="G19" s="87"/>
    </row>
    <row r="20" spans="5:7" s="2" customFormat="1" ht="11.25">
      <c r="E20" s="87"/>
      <c r="G20" s="87"/>
    </row>
    <row r="21" spans="5:7" s="2" customFormat="1" ht="11.25">
      <c r="E21" s="87"/>
      <c r="G21" s="87"/>
    </row>
    <row r="22" spans="5:7" s="2" customFormat="1" ht="11.25">
      <c r="E22" s="87"/>
      <c r="G22" s="87"/>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&amp;R&amp;10大阪国税局
消費税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view="pageBreakPreview" zoomScale="175" zoomScaleSheetLayoutView="175" zoomScalePageLayoutView="0" workbookViewId="0" topLeftCell="A1">
      <selection activeCell="J42" sqref="J42"/>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145</v>
      </c>
    </row>
    <row r="2" spans="1:4" s="1" customFormat="1" ht="19.5" customHeight="1">
      <c r="A2" s="88" t="s">
        <v>146</v>
      </c>
      <c r="B2" s="89" t="s">
        <v>147</v>
      </c>
      <c r="C2" s="90" t="s">
        <v>148</v>
      </c>
      <c r="D2" s="91" t="s">
        <v>149</v>
      </c>
    </row>
    <row r="3" spans="1:4" s="78" customFormat="1" ht="15" customHeight="1">
      <c r="A3" s="92" t="s">
        <v>16</v>
      </c>
      <c r="B3" s="93" t="s">
        <v>16</v>
      </c>
      <c r="C3" s="94" t="s">
        <v>16</v>
      </c>
      <c r="D3" s="95" t="s">
        <v>16</v>
      </c>
    </row>
    <row r="4" spans="1:9" s="1" customFormat="1" ht="30" customHeight="1" thickBot="1">
      <c r="A4" s="153">
        <v>530634</v>
      </c>
      <c r="B4" s="154">
        <v>16202</v>
      </c>
      <c r="C4" s="155">
        <v>2104</v>
      </c>
      <c r="D4" s="156">
        <v>548940</v>
      </c>
      <c r="E4" s="96"/>
      <c r="G4" s="96"/>
      <c r="I4" s="96"/>
    </row>
    <row r="5" spans="1:4" s="1" customFormat="1" ht="15" customHeight="1">
      <c r="A5" s="193" t="s">
        <v>176</v>
      </c>
      <c r="B5" s="193"/>
      <c r="C5" s="193"/>
      <c r="D5" s="193"/>
    </row>
    <row r="6" spans="1:4" s="1" customFormat="1" ht="15" customHeight="1">
      <c r="A6" s="194" t="s">
        <v>150</v>
      </c>
      <c r="B6" s="194"/>
      <c r="C6" s="194"/>
      <c r="D6" s="194"/>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&amp;R&amp;10大阪国税局
消費税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17"/>
  <sheetViews>
    <sheetView view="pageBreakPreview" zoomScale="85" zoomScaleSheetLayoutView="85" zoomScalePageLayoutView="0"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194" t="s">
        <v>1</v>
      </c>
      <c r="B2" s="194"/>
      <c r="C2" s="194"/>
      <c r="D2" s="194"/>
      <c r="E2" s="194"/>
      <c r="F2" s="194"/>
      <c r="G2" s="194"/>
      <c r="H2" s="2"/>
      <c r="I2" s="2"/>
      <c r="J2" s="2"/>
      <c r="K2" s="2"/>
      <c r="L2" s="2"/>
      <c r="M2" s="2"/>
      <c r="N2" s="2"/>
    </row>
    <row r="3" spans="1:14" ht="19.5" customHeight="1">
      <c r="A3" s="199" t="s">
        <v>2</v>
      </c>
      <c r="B3" s="202" t="s">
        <v>3</v>
      </c>
      <c r="C3" s="202"/>
      <c r="D3" s="202"/>
      <c r="E3" s="202"/>
      <c r="F3" s="202"/>
      <c r="G3" s="202"/>
      <c r="H3" s="195" t="s">
        <v>4</v>
      </c>
      <c r="I3" s="196"/>
      <c r="J3" s="208" t="s">
        <v>5</v>
      </c>
      <c r="K3" s="196"/>
      <c r="L3" s="195" t="s">
        <v>6</v>
      </c>
      <c r="M3" s="196"/>
      <c r="N3" s="203" t="s">
        <v>7</v>
      </c>
    </row>
    <row r="4" spans="1:14" ht="17.25" customHeight="1">
      <c r="A4" s="200"/>
      <c r="B4" s="206" t="s">
        <v>8</v>
      </c>
      <c r="C4" s="206"/>
      <c r="D4" s="197" t="s">
        <v>9</v>
      </c>
      <c r="E4" s="207"/>
      <c r="F4" s="197" t="s">
        <v>10</v>
      </c>
      <c r="G4" s="207"/>
      <c r="H4" s="197"/>
      <c r="I4" s="198"/>
      <c r="J4" s="197"/>
      <c r="K4" s="198"/>
      <c r="L4" s="197"/>
      <c r="M4" s="198"/>
      <c r="N4" s="204"/>
    </row>
    <row r="5" spans="1:14" s="4" customFormat="1" ht="28.5" customHeight="1">
      <c r="A5" s="201"/>
      <c r="B5" s="37" t="s">
        <v>11</v>
      </c>
      <c r="C5" s="38" t="s">
        <v>12</v>
      </c>
      <c r="D5" s="37" t="s">
        <v>11</v>
      </c>
      <c r="E5" s="38" t="s">
        <v>12</v>
      </c>
      <c r="F5" s="37" t="s">
        <v>11</v>
      </c>
      <c r="G5" s="41" t="s">
        <v>13</v>
      </c>
      <c r="H5" s="37" t="s">
        <v>118</v>
      </c>
      <c r="I5" s="40" t="s">
        <v>14</v>
      </c>
      <c r="J5" s="37" t="s">
        <v>118</v>
      </c>
      <c r="K5" s="40" t="s">
        <v>15</v>
      </c>
      <c r="L5" s="37" t="s">
        <v>118</v>
      </c>
      <c r="M5" s="39" t="s">
        <v>119</v>
      </c>
      <c r="N5" s="205"/>
    </row>
    <row r="6" spans="1:14" s="10"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s="17" customFormat="1" ht="15.75" customHeight="1">
      <c r="A7" s="11" t="s">
        <v>19</v>
      </c>
      <c r="B7" s="114">
        <f>_xlfn.COMPOUNDVALUE(1)</f>
        <v>1234</v>
      </c>
      <c r="C7" s="115">
        <v>678290</v>
      </c>
      <c r="D7" s="114">
        <f>_xlfn.COMPOUNDVALUE(2)</f>
        <v>1268</v>
      </c>
      <c r="E7" s="115">
        <v>533981</v>
      </c>
      <c r="F7" s="114">
        <f>_xlfn.COMPOUNDVALUE(3)</f>
        <v>2502</v>
      </c>
      <c r="G7" s="115">
        <v>1212271</v>
      </c>
      <c r="H7" s="114">
        <f>_xlfn.COMPOUNDVALUE(4)</f>
        <v>105</v>
      </c>
      <c r="I7" s="116">
        <v>51597</v>
      </c>
      <c r="J7" s="114">
        <v>180</v>
      </c>
      <c r="K7" s="116">
        <v>32103</v>
      </c>
      <c r="L7" s="114">
        <v>2667</v>
      </c>
      <c r="M7" s="116">
        <v>1192777</v>
      </c>
      <c r="N7" s="12" t="s">
        <v>19</v>
      </c>
    </row>
    <row r="8" spans="1:14" s="17" customFormat="1" ht="15.75" customHeight="1">
      <c r="A8" s="13" t="s">
        <v>20</v>
      </c>
      <c r="B8" s="119">
        <f>_xlfn.COMPOUNDVALUE(5)</f>
        <v>669</v>
      </c>
      <c r="C8" s="120">
        <v>378514</v>
      </c>
      <c r="D8" s="119">
        <f>_xlfn.COMPOUNDVALUE(6)</f>
        <v>741</v>
      </c>
      <c r="E8" s="120">
        <v>300535</v>
      </c>
      <c r="F8" s="119">
        <f>_xlfn.COMPOUNDVALUE(7)</f>
        <v>1410</v>
      </c>
      <c r="G8" s="120">
        <v>679049</v>
      </c>
      <c r="H8" s="119">
        <f>_xlfn.COMPOUNDVALUE(8)</f>
        <v>50</v>
      </c>
      <c r="I8" s="121">
        <v>26939</v>
      </c>
      <c r="J8" s="119">
        <v>69</v>
      </c>
      <c r="K8" s="121">
        <v>16896</v>
      </c>
      <c r="L8" s="119">
        <v>1485</v>
      </c>
      <c r="M8" s="121">
        <v>669006</v>
      </c>
      <c r="N8" s="14" t="s">
        <v>20</v>
      </c>
    </row>
    <row r="9" spans="1:14" s="17" customFormat="1" ht="15.75" customHeight="1">
      <c r="A9" s="13" t="s">
        <v>21</v>
      </c>
      <c r="B9" s="119">
        <f>_xlfn.COMPOUNDVALUE(9)</f>
        <v>751</v>
      </c>
      <c r="C9" s="120">
        <v>405587</v>
      </c>
      <c r="D9" s="119">
        <f>_xlfn.COMPOUNDVALUE(10)</f>
        <v>708</v>
      </c>
      <c r="E9" s="120">
        <v>279423</v>
      </c>
      <c r="F9" s="119">
        <f>_xlfn.COMPOUNDVALUE(11)</f>
        <v>1459</v>
      </c>
      <c r="G9" s="120">
        <v>685010</v>
      </c>
      <c r="H9" s="119">
        <f>_xlfn.COMPOUNDVALUE(12)</f>
        <v>54</v>
      </c>
      <c r="I9" s="121">
        <v>18605</v>
      </c>
      <c r="J9" s="119">
        <v>94</v>
      </c>
      <c r="K9" s="121">
        <v>16094</v>
      </c>
      <c r="L9" s="119">
        <v>1546</v>
      </c>
      <c r="M9" s="121">
        <v>682500</v>
      </c>
      <c r="N9" s="14" t="s">
        <v>21</v>
      </c>
    </row>
    <row r="10" spans="1:14" s="17" customFormat="1" ht="15.75" customHeight="1">
      <c r="A10" s="13" t="s">
        <v>22</v>
      </c>
      <c r="B10" s="119">
        <f>_xlfn.COMPOUNDVALUE(13)</f>
        <v>1101</v>
      </c>
      <c r="C10" s="120">
        <v>574456</v>
      </c>
      <c r="D10" s="119">
        <f>_xlfn.COMPOUNDVALUE(14)</f>
        <v>1188</v>
      </c>
      <c r="E10" s="120">
        <v>455141</v>
      </c>
      <c r="F10" s="119">
        <f>_xlfn.COMPOUNDVALUE(15)</f>
        <v>2289</v>
      </c>
      <c r="G10" s="120">
        <v>1029597</v>
      </c>
      <c r="H10" s="119">
        <f>_xlfn.COMPOUNDVALUE(16)</f>
        <v>97</v>
      </c>
      <c r="I10" s="121">
        <v>51511</v>
      </c>
      <c r="J10" s="119">
        <v>195</v>
      </c>
      <c r="K10" s="121">
        <v>31785</v>
      </c>
      <c r="L10" s="119">
        <v>2436</v>
      </c>
      <c r="M10" s="121">
        <v>1009872</v>
      </c>
      <c r="N10" s="14" t="s">
        <v>22</v>
      </c>
    </row>
    <row r="11" spans="1:14" s="17" customFormat="1" ht="15.75" customHeight="1">
      <c r="A11" s="13" t="s">
        <v>23</v>
      </c>
      <c r="B11" s="119">
        <f>_xlfn.COMPOUNDVALUE(17)</f>
        <v>1240</v>
      </c>
      <c r="C11" s="120">
        <v>1226706</v>
      </c>
      <c r="D11" s="119">
        <f>_xlfn.COMPOUNDVALUE(18)</f>
        <v>1249</v>
      </c>
      <c r="E11" s="120">
        <v>553200</v>
      </c>
      <c r="F11" s="119">
        <f>_xlfn.COMPOUNDVALUE(19)</f>
        <v>2489</v>
      </c>
      <c r="G11" s="120">
        <v>1779906</v>
      </c>
      <c r="H11" s="119">
        <f>_xlfn.COMPOUNDVALUE(20)</f>
        <v>93</v>
      </c>
      <c r="I11" s="121">
        <v>53920</v>
      </c>
      <c r="J11" s="119">
        <v>190</v>
      </c>
      <c r="K11" s="121">
        <v>29966</v>
      </c>
      <c r="L11" s="119">
        <v>2688</v>
      </c>
      <c r="M11" s="121">
        <v>1755952</v>
      </c>
      <c r="N11" s="14" t="s">
        <v>23</v>
      </c>
    </row>
    <row r="12" spans="1:14" s="17" customFormat="1" ht="15.75" customHeight="1">
      <c r="A12" s="13" t="s">
        <v>24</v>
      </c>
      <c r="B12" s="119">
        <f>_xlfn.COMPOUNDVALUE(21)</f>
        <v>610</v>
      </c>
      <c r="C12" s="120">
        <v>382593</v>
      </c>
      <c r="D12" s="119">
        <f>_xlfn.COMPOUNDVALUE(22)</f>
        <v>649</v>
      </c>
      <c r="E12" s="120">
        <v>241211</v>
      </c>
      <c r="F12" s="119">
        <f>_xlfn.COMPOUNDVALUE(23)</f>
        <v>1259</v>
      </c>
      <c r="G12" s="120">
        <v>623804</v>
      </c>
      <c r="H12" s="119">
        <f>_xlfn.COMPOUNDVALUE(24)</f>
        <v>40</v>
      </c>
      <c r="I12" s="121">
        <v>37659</v>
      </c>
      <c r="J12" s="119">
        <v>126</v>
      </c>
      <c r="K12" s="121">
        <v>3168</v>
      </c>
      <c r="L12" s="119">
        <v>1368</v>
      </c>
      <c r="M12" s="121">
        <v>589313</v>
      </c>
      <c r="N12" s="14" t="s">
        <v>24</v>
      </c>
    </row>
    <row r="13" spans="1:14" s="17" customFormat="1" ht="15.75" customHeight="1">
      <c r="A13" s="13" t="s">
        <v>25</v>
      </c>
      <c r="B13" s="119">
        <f>_xlfn.COMPOUNDVALUE(25)</f>
        <v>282</v>
      </c>
      <c r="C13" s="120">
        <v>145160</v>
      </c>
      <c r="D13" s="119">
        <f>_xlfn.COMPOUNDVALUE(26)</f>
        <v>328</v>
      </c>
      <c r="E13" s="120">
        <v>121019</v>
      </c>
      <c r="F13" s="119">
        <f>_xlfn.COMPOUNDVALUE(27)</f>
        <v>610</v>
      </c>
      <c r="G13" s="120">
        <v>266179</v>
      </c>
      <c r="H13" s="119">
        <f>_xlfn.COMPOUNDVALUE(28)</f>
        <v>23</v>
      </c>
      <c r="I13" s="121">
        <v>13652</v>
      </c>
      <c r="J13" s="119">
        <v>48</v>
      </c>
      <c r="K13" s="121">
        <v>2407</v>
      </c>
      <c r="L13" s="119">
        <v>640</v>
      </c>
      <c r="M13" s="121">
        <v>254934</v>
      </c>
      <c r="N13" s="14" t="s">
        <v>25</v>
      </c>
    </row>
    <row r="14" spans="1:14" s="17" customFormat="1" ht="15.75" customHeight="1">
      <c r="A14" s="15" t="s">
        <v>26</v>
      </c>
      <c r="B14" s="124">
        <v>5887</v>
      </c>
      <c r="C14" s="125">
        <v>3791306</v>
      </c>
      <c r="D14" s="124">
        <v>6131</v>
      </c>
      <c r="E14" s="125">
        <v>2484511</v>
      </c>
      <c r="F14" s="124">
        <v>12018</v>
      </c>
      <c r="G14" s="125">
        <v>6275817</v>
      </c>
      <c r="H14" s="124">
        <v>462</v>
      </c>
      <c r="I14" s="126">
        <v>253884</v>
      </c>
      <c r="J14" s="124">
        <v>902</v>
      </c>
      <c r="K14" s="126">
        <v>132420</v>
      </c>
      <c r="L14" s="124">
        <v>12830</v>
      </c>
      <c r="M14" s="126">
        <v>6154353</v>
      </c>
      <c r="N14" s="16" t="s">
        <v>123</v>
      </c>
    </row>
    <row r="15" spans="1:14" s="17" customFormat="1" ht="15.75" customHeight="1">
      <c r="A15" s="26"/>
      <c r="B15" s="129"/>
      <c r="C15" s="130"/>
      <c r="D15" s="129"/>
      <c r="E15" s="130"/>
      <c r="F15" s="131"/>
      <c r="G15" s="130"/>
      <c r="H15" s="131"/>
      <c r="I15" s="130"/>
      <c r="J15" s="131"/>
      <c r="K15" s="130"/>
      <c r="L15" s="131"/>
      <c r="M15" s="130"/>
      <c r="N15" s="24"/>
    </row>
    <row r="16" spans="1:14" s="17" customFormat="1" ht="15.75" customHeight="1">
      <c r="A16" s="11" t="s">
        <v>27</v>
      </c>
      <c r="B16" s="114">
        <f>_xlfn.COMPOUNDVALUE(29)</f>
        <v>1127</v>
      </c>
      <c r="C16" s="115">
        <v>736791</v>
      </c>
      <c r="D16" s="114">
        <f>_xlfn.COMPOUNDVALUE(30)</f>
        <v>1245</v>
      </c>
      <c r="E16" s="115">
        <v>523051</v>
      </c>
      <c r="F16" s="114">
        <f>_xlfn.COMPOUNDVALUE(31)</f>
        <v>2372</v>
      </c>
      <c r="G16" s="115">
        <v>1259843</v>
      </c>
      <c r="H16" s="114">
        <f>_xlfn.COMPOUNDVALUE(32)</f>
        <v>80</v>
      </c>
      <c r="I16" s="116">
        <v>45773</v>
      </c>
      <c r="J16" s="114">
        <v>124</v>
      </c>
      <c r="K16" s="116">
        <v>22861</v>
      </c>
      <c r="L16" s="114">
        <v>2503</v>
      </c>
      <c r="M16" s="116">
        <v>1236930</v>
      </c>
      <c r="N16" s="25" t="s">
        <v>27</v>
      </c>
    </row>
    <row r="17" spans="1:14" s="17" customFormat="1" ht="15.75" customHeight="1">
      <c r="A17" s="11" t="s">
        <v>28</v>
      </c>
      <c r="B17" s="114">
        <f>_xlfn.COMPOUNDVALUE(33)</f>
        <v>786</v>
      </c>
      <c r="C17" s="115">
        <v>564459</v>
      </c>
      <c r="D17" s="114">
        <f>_xlfn.COMPOUNDVALUE(34)</f>
        <v>883</v>
      </c>
      <c r="E17" s="115">
        <v>411171</v>
      </c>
      <c r="F17" s="114">
        <f>_xlfn.COMPOUNDVALUE(35)</f>
        <v>1669</v>
      </c>
      <c r="G17" s="115">
        <v>975629</v>
      </c>
      <c r="H17" s="114">
        <f>_xlfn.COMPOUNDVALUE(36)</f>
        <v>73</v>
      </c>
      <c r="I17" s="116">
        <v>56192</v>
      </c>
      <c r="J17" s="114">
        <v>82</v>
      </c>
      <c r="K17" s="116">
        <v>13053</v>
      </c>
      <c r="L17" s="114">
        <v>1779</v>
      </c>
      <c r="M17" s="116">
        <v>932491</v>
      </c>
      <c r="N17" s="12" t="s">
        <v>28</v>
      </c>
    </row>
    <row r="18" spans="1:14" s="17" customFormat="1" ht="15.75" customHeight="1">
      <c r="A18" s="11" t="s">
        <v>29</v>
      </c>
      <c r="B18" s="114">
        <f>_xlfn.COMPOUNDVALUE(37)</f>
        <v>853</v>
      </c>
      <c r="C18" s="115">
        <v>707401</v>
      </c>
      <c r="D18" s="114">
        <f>_xlfn.COMPOUNDVALUE(38)</f>
        <v>1129</v>
      </c>
      <c r="E18" s="115">
        <v>549469</v>
      </c>
      <c r="F18" s="114">
        <f>_xlfn.COMPOUNDVALUE(39)</f>
        <v>1982</v>
      </c>
      <c r="G18" s="115">
        <v>1256870</v>
      </c>
      <c r="H18" s="114">
        <f>_xlfn.COMPOUNDVALUE(40)</f>
        <v>69</v>
      </c>
      <c r="I18" s="116">
        <v>74026</v>
      </c>
      <c r="J18" s="114">
        <v>125</v>
      </c>
      <c r="K18" s="116">
        <v>18505</v>
      </c>
      <c r="L18" s="114">
        <v>2088</v>
      </c>
      <c r="M18" s="116">
        <v>1201349</v>
      </c>
      <c r="N18" s="12" t="s">
        <v>29</v>
      </c>
    </row>
    <row r="19" spans="1:14" s="17" customFormat="1" ht="15.75" customHeight="1">
      <c r="A19" s="11" t="s">
        <v>30</v>
      </c>
      <c r="B19" s="114">
        <f>_xlfn.COMPOUNDVALUE(41)</f>
        <v>1067</v>
      </c>
      <c r="C19" s="115">
        <v>628488</v>
      </c>
      <c r="D19" s="114">
        <f>_xlfn.COMPOUNDVALUE(42)</f>
        <v>1051</v>
      </c>
      <c r="E19" s="115">
        <v>436687</v>
      </c>
      <c r="F19" s="114">
        <f>_xlfn.COMPOUNDVALUE(43)</f>
        <v>2118</v>
      </c>
      <c r="G19" s="115">
        <v>1065175</v>
      </c>
      <c r="H19" s="114">
        <f>_xlfn.COMPOUNDVALUE(44)</f>
        <v>92</v>
      </c>
      <c r="I19" s="116">
        <v>69654</v>
      </c>
      <c r="J19" s="114">
        <v>144</v>
      </c>
      <c r="K19" s="116">
        <v>33999</v>
      </c>
      <c r="L19" s="114">
        <v>2288</v>
      </c>
      <c r="M19" s="116">
        <v>1029520</v>
      </c>
      <c r="N19" s="12" t="s">
        <v>30</v>
      </c>
    </row>
    <row r="20" spans="1:14" s="17" customFormat="1" ht="15.75" customHeight="1">
      <c r="A20" s="11" t="s">
        <v>31</v>
      </c>
      <c r="B20" s="114">
        <f>_xlfn.COMPOUNDVALUE(45)</f>
        <v>1003</v>
      </c>
      <c r="C20" s="115">
        <v>758391</v>
      </c>
      <c r="D20" s="114">
        <f>_xlfn.COMPOUNDVALUE(46)</f>
        <v>1164</v>
      </c>
      <c r="E20" s="115">
        <v>502129</v>
      </c>
      <c r="F20" s="114">
        <f>_xlfn.COMPOUNDVALUE(47)</f>
        <v>2167</v>
      </c>
      <c r="G20" s="115">
        <v>1260520</v>
      </c>
      <c r="H20" s="114">
        <f>_xlfn.COMPOUNDVALUE(48)</f>
        <v>65</v>
      </c>
      <c r="I20" s="116">
        <v>74407</v>
      </c>
      <c r="J20" s="114">
        <v>98</v>
      </c>
      <c r="K20" s="116">
        <v>20608</v>
      </c>
      <c r="L20" s="114">
        <v>2263</v>
      </c>
      <c r="M20" s="116">
        <v>1206721</v>
      </c>
      <c r="N20" s="12" t="s">
        <v>31</v>
      </c>
    </row>
    <row r="21" spans="1:14" s="17" customFormat="1" ht="15.75" customHeight="1">
      <c r="A21" s="11" t="s">
        <v>32</v>
      </c>
      <c r="B21" s="114">
        <f>_xlfn.COMPOUNDVALUE(49)</f>
        <v>2186</v>
      </c>
      <c r="C21" s="115">
        <v>1125466</v>
      </c>
      <c r="D21" s="114">
        <f>_xlfn.COMPOUNDVALUE(50)</f>
        <v>2075</v>
      </c>
      <c r="E21" s="115">
        <v>873265</v>
      </c>
      <c r="F21" s="114">
        <f>_xlfn.COMPOUNDVALUE(51)</f>
        <v>4261</v>
      </c>
      <c r="G21" s="115">
        <v>1998730</v>
      </c>
      <c r="H21" s="114">
        <f>_xlfn.COMPOUNDVALUE(52)</f>
        <v>143</v>
      </c>
      <c r="I21" s="116">
        <v>133865</v>
      </c>
      <c r="J21" s="114">
        <v>324</v>
      </c>
      <c r="K21" s="116">
        <v>73279</v>
      </c>
      <c r="L21" s="114">
        <v>4543</v>
      </c>
      <c r="M21" s="116">
        <v>1938145</v>
      </c>
      <c r="N21" s="12" t="s">
        <v>32</v>
      </c>
    </row>
    <row r="22" spans="1:14" s="17" customFormat="1" ht="15.75" customHeight="1">
      <c r="A22" s="13" t="s">
        <v>33</v>
      </c>
      <c r="B22" s="119">
        <f>_xlfn.COMPOUNDVALUE(53)</f>
        <v>1133</v>
      </c>
      <c r="C22" s="120">
        <v>583214</v>
      </c>
      <c r="D22" s="119">
        <f>_xlfn.COMPOUNDVALUE(54)</f>
        <v>1163</v>
      </c>
      <c r="E22" s="120">
        <v>516584</v>
      </c>
      <c r="F22" s="119">
        <f>_xlfn.COMPOUNDVALUE(55)</f>
        <v>2296</v>
      </c>
      <c r="G22" s="120">
        <v>1099798</v>
      </c>
      <c r="H22" s="119">
        <f>_xlfn.COMPOUNDVALUE(56)</f>
        <v>88</v>
      </c>
      <c r="I22" s="121">
        <v>69732</v>
      </c>
      <c r="J22" s="119">
        <v>187</v>
      </c>
      <c r="K22" s="121">
        <v>31321</v>
      </c>
      <c r="L22" s="119">
        <v>2467</v>
      </c>
      <c r="M22" s="121">
        <v>1061387</v>
      </c>
      <c r="N22" s="14" t="s">
        <v>33</v>
      </c>
    </row>
    <row r="23" spans="1:14" s="17" customFormat="1" ht="15.75" customHeight="1">
      <c r="A23" s="13" t="s">
        <v>34</v>
      </c>
      <c r="B23" s="119">
        <f>_xlfn.COMPOUNDVALUE(57)</f>
        <v>464</v>
      </c>
      <c r="C23" s="120">
        <v>250127</v>
      </c>
      <c r="D23" s="119">
        <f>_xlfn.COMPOUNDVALUE(58)</f>
        <v>472</v>
      </c>
      <c r="E23" s="120">
        <v>185394</v>
      </c>
      <c r="F23" s="119">
        <f>_xlfn.COMPOUNDVALUE(59)</f>
        <v>936</v>
      </c>
      <c r="G23" s="120">
        <v>435522</v>
      </c>
      <c r="H23" s="119">
        <f>_xlfn.COMPOUNDVALUE(60)</f>
        <v>20</v>
      </c>
      <c r="I23" s="121">
        <v>8359</v>
      </c>
      <c r="J23" s="119">
        <v>72</v>
      </c>
      <c r="K23" s="121">
        <v>18216</v>
      </c>
      <c r="L23" s="119">
        <v>983</v>
      </c>
      <c r="M23" s="121">
        <v>445378</v>
      </c>
      <c r="N23" s="14" t="s">
        <v>34</v>
      </c>
    </row>
    <row r="24" spans="1:14" s="17" customFormat="1" ht="15.75" customHeight="1">
      <c r="A24" s="13" t="s">
        <v>35</v>
      </c>
      <c r="B24" s="119">
        <f>_xlfn.COMPOUNDVALUE(61)</f>
        <v>332</v>
      </c>
      <c r="C24" s="120">
        <v>169502</v>
      </c>
      <c r="D24" s="119">
        <f>_xlfn.COMPOUNDVALUE(62)</f>
        <v>395</v>
      </c>
      <c r="E24" s="120">
        <v>158571</v>
      </c>
      <c r="F24" s="119">
        <f>_xlfn.COMPOUNDVALUE(63)</f>
        <v>727</v>
      </c>
      <c r="G24" s="120">
        <v>328072</v>
      </c>
      <c r="H24" s="119">
        <f>_xlfn.COMPOUNDVALUE(64)</f>
        <v>26</v>
      </c>
      <c r="I24" s="121">
        <v>6533</v>
      </c>
      <c r="J24" s="119">
        <v>51</v>
      </c>
      <c r="K24" s="121">
        <v>7056</v>
      </c>
      <c r="L24" s="119">
        <v>780</v>
      </c>
      <c r="M24" s="121">
        <v>328595</v>
      </c>
      <c r="N24" s="14" t="s">
        <v>35</v>
      </c>
    </row>
    <row r="25" spans="1:14" s="17" customFormat="1" ht="15.75" customHeight="1">
      <c r="A25" s="13" t="s">
        <v>36</v>
      </c>
      <c r="B25" s="119">
        <f>_xlfn.COMPOUNDVALUE(65)</f>
        <v>2312</v>
      </c>
      <c r="C25" s="120">
        <v>1290648</v>
      </c>
      <c r="D25" s="119">
        <f>_xlfn.COMPOUNDVALUE(66)</f>
        <v>2192</v>
      </c>
      <c r="E25" s="120">
        <v>872816</v>
      </c>
      <c r="F25" s="119">
        <f>_xlfn.COMPOUNDVALUE(67)</f>
        <v>4504</v>
      </c>
      <c r="G25" s="120">
        <v>2163464</v>
      </c>
      <c r="H25" s="119">
        <f>_xlfn.COMPOUNDVALUE(68)</f>
        <v>211</v>
      </c>
      <c r="I25" s="121">
        <v>156419</v>
      </c>
      <c r="J25" s="119">
        <v>289</v>
      </c>
      <c r="K25" s="121">
        <v>58037</v>
      </c>
      <c r="L25" s="119">
        <v>4848</v>
      </c>
      <c r="M25" s="121">
        <v>2065081</v>
      </c>
      <c r="N25" s="14" t="s">
        <v>36</v>
      </c>
    </row>
    <row r="26" spans="1:14" s="17" customFormat="1" ht="15.75" customHeight="1">
      <c r="A26" s="13" t="s">
        <v>37</v>
      </c>
      <c r="B26" s="119">
        <f>_xlfn.COMPOUNDVALUE(69)</f>
        <v>314</v>
      </c>
      <c r="C26" s="120">
        <v>181424</v>
      </c>
      <c r="D26" s="119">
        <f>_xlfn.COMPOUNDVALUE(70)</f>
        <v>284</v>
      </c>
      <c r="E26" s="120">
        <v>104041</v>
      </c>
      <c r="F26" s="119">
        <f>_xlfn.COMPOUNDVALUE(71)</f>
        <v>598</v>
      </c>
      <c r="G26" s="120">
        <v>285465</v>
      </c>
      <c r="H26" s="119">
        <f>_xlfn.COMPOUNDVALUE(72)</f>
        <v>18</v>
      </c>
      <c r="I26" s="121">
        <v>8609</v>
      </c>
      <c r="J26" s="119">
        <v>67</v>
      </c>
      <c r="K26" s="121">
        <v>9510</v>
      </c>
      <c r="L26" s="119">
        <v>628</v>
      </c>
      <c r="M26" s="121">
        <v>286365</v>
      </c>
      <c r="N26" s="14" t="s">
        <v>37</v>
      </c>
    </row>
    <row r="27" spans="1:14" s="17" customFormat="1" ht="15.75" customHeight="1">
      <c r="A27" s="13" t="s">
        <v>38</v>
      </c>
      <c r="B27" s="119">
        <f>_xlfn.COMPOUNDVALUE(73)</f>
        <v>655</v>
      </c>
      <c r="C27" s="120">
        <v>311892</v>
      </c>
      <c r="D27" s="119">
        <f>_xlfn.COMPOUNDVALUE(74)</f>
        <v>624</v>
      </c>
      <c r="E27" s="120">
        <v>235754</v>
      </c>
      <c r="F27" s="119">
        <f>_xlfn.COMPOUNDVALUE(75)</f>
        <v>1279</v>
      </c>
      <c r="G27" s="120">
        <v>547646</v>
      </c>
      <c r="H27" s="119">
        <f>_xlfn.COMPOUNDVALUE(76)</f>
        <v>39</v>
      </c>
      <c r="I27" s="121">
        <v>24593</v>
      </c>
      <c r="J27" s="119">
        <v>84</v>
      </c>
      <c r="K27" s="121">
        <v>16155</v>
      </c>
      <c r="L27" s="119">
        <v>1350</v>
      </c>
      <c r="M27" s="121">
        <v>539208</v>
      </c>
      <c r="N27" s="14" t="s">
        <v>38</v>
      </c>
    </row>
    <row r="28" spans="1:14" s="17" customFormat="1" ht="15.75" customHeight="1">
      <c r="A28" s="13" t="s">
        <v>39</v>
      </c>
      <c r="B28" s="119">
        <f>_xlfn.COMPOUNDVALUE(77)</f>
        <v>479</v>
      </c>
      <c r="C28" s="120">
        <v>299242</v>
      </c>
      <c r="D28" s="119">
        <f>_xlfn.COMPOUNDVALUE(78)</f>
        <v>368</v>
      </c>
      <c r="E28" s="120">
        <v>147731</v>
      </c>
      <c r="F28" s="119">
        <f>_xlfn.COMPOUNDVALUE(79)</f>
        <v>847</v>
      </c>
      <c r="G28" s="120">
        <v>446972</v>
      </c>
      <c r="H28" s="119">
        <f>_xlfn.COMPOUNDVALUE(80)</f>
        <v>25</v>
      </c>
      <c r="I28" s="121">
        <v>17854</v>
      </c>
      <c r="J28" s="119">
        <v>32</v>
      </c>
      <c r="K28" s="121">
        <v>2514</v>
      </c>
      <c r="L28" s="119">
        <v>873</v>
      </c>
      <c r="M28" s="121">
        <v>431632</v>
      </c>
      <c r="N28" s="14" t="s">
        <v>39</v>
      </c>
    </row>
    <row r="29" spans="1:14" s="17" customFormat="1" ht="15.75" customHeight="1">
      <c r="A29" s="15" t="s">
        <v>40</v>
      </c>
      <c r="B29" s="124">
        <v>12711</v>
      </c>
      <c r="C29" s="125">
        <v>7607045</v>
      </c>
      <c r="D29" s="124">
        <v>13045</v>
      </c>
      <c r="E29" s="125">
        <v>5516661</v>
      </c>
      <c r="F29" s="124">
        <v>25756</v>
      </c>
      <c r="G29" s="125">
        <v>13123706</v>
      </c>
      <c r="H29" s="124">
        <v>949</v>
      </c>
      <c r="I29" s="126">
        <v>746015</v>
      </c>
      <c r="J29" s="124">
        <v>1679</v>
      </c>
      <c r="K29" s="126">
        <v>325113</v>
      </c>
      <c r="L29" s="124">
        <v>27393</v>
      </c>
      <c r="M29" s="126">
        <v>12702803</v>
      </c>
      <c r="N29" s="16" t="s">
        <v>124</v>
      </c>
    </row>
    <row r="30" spans="1:14" s="17" customFormat="1" ht="15.75" customHeight="1">
      <c r="A30" s="23"/>
      <c r="B30" s="129"/>
      <c r="C30" s="130"/>
      <c r="D30" s="129"/>
      <c r="E30" s="130"/>
      <c r="F30" s="131"/>
      <c r="G30" s="130"/>
      <c r="H30" s="131"/>
      <c r="I30" s="130"/>
      <c r="J30" s="131"/>
      <c r="K30" s="130"/>
      <c r="L30" s="131"/>
      <c r="M30" s="130"/>
      <c r="N30" s="24"/>
    </row>
    <row r="31" spans="1:14" s="17" customFormat="1" ht="15.75" customHeight="1">
      <c r="A31" s="11" t="s">
        <v>41</v>
      </c>
      <c r="B31" s="114">
        <f>_xlfn.COMPOUNDVALUE(81)</f>
        <v>788</v>
      </c>
      <c r="C31" s="115">
        <v>441595</v>
      </c>
      <c r="D31" s="114">
        <f>_xlfn.COMPOUNDVALUE(82)</f>
        <v>571</v>
      </c>
      <c r="E31" s="115">
        <v>256597</v>
      </c>
      <c r="F31" s="114">
        <f>_xlfn.COMPOUNDVALUE(83)</f>
        <v>1359</v>
      </c>
      <c r="G31" s="115">
        <v>698192</v>
      </c>
      <c r="H31" s="114">
        <f>_xlfn.COMPOUNDVALUE(84)</f>
        <v>65</v>
      </c>
      <c r="I31" s="116">
        <v>22530</v>
      </c>
      <c r="J31" s="114">
        <v>102</v>
      </c>
      <c r="K31" s="116">
        <v>22317</v>
      </c>
      <c r="L31" s="114">
        <v>1449</v>
      </c>
      <c r="M31" s="116">
        <v>697979</v>
      </c>
      <c r="N31" s="25" t="s">
        <v>41</v>
      </c>
    </row>
    <row r="32" spans="1:14" s="17" customFormat="1" ht="15.75" customHeight="1">
      <c r="A32" s="11" t="s">
        <v>42</v>
      </c>
      <c r="B32" s="114">
        <f>_xlfn.COMPOUNDVALUE(85)</f>
        <v>899</v>
      </c>
      <c r="C32" s="115">
        <v>661358</v>
      </c>
      <c r="D32" s="114">
        <f>_xlfn.COMPOUNDVALUE(86)</f>
        <v>654</v>
      </c>
      <c r="E32" s="115">
        <v>302378</v>
      </c>
      <c r="F32" s="114">
        <f>_xlfn.COMPOUNDVALUE(87)</f>
        <v>1553</v>
      </c>
      <c r="G32" s="115">
        <v>963736</v>
      </c>
      <c r="H32" s="114">
        <f>_xlfn.COMPOUNDVALUE(88)</f>
        <v>91</v>
      </c>
      <c r="I32" s="116">
        <v>59048</v>
      </c>
      <c r="J32" s="114">
        <v>114</v>
      </c>
      <c r="K32" s="116">
        <v>25260</v>
      </c>
      <c r="L32" s="114">
        <v>1688</v>
      </c>
      <c r="M32" s="116">
        <v>929948</v>
      </c>
      <c r="N32" s="12" t="s">
        <v>42</v>
      </c>
    </row>
    <row r="33" spans="1:14" s="17" customFormat="1" ht="15.75" customHeight="1">
      <c r="A33" s="11" t="s">
        <v>43</v>
      </c>
      <c r="B33" s="114">
        <f>_xlfn.COMPOUNDVALUE(89)</f>
        <v>828</v>
      </c>
      <c r="C33" s="115">
        <v>689906</v>
      </c>
      <c r="D33" s="114">
        <f>_xlfn.COMPOUNDVALUE(90)</f>
        <v>690</v>
      </c>
      <c r="E33" s="115">
        <v>274100</v>
      </c>
      <c r="F33" s="114">
        <f>_xlfn.COMPOUNDVALUE(91)</f>
        <v>1518</v>
      </c>
      <c r="G33" s="115">
        <v>964007</v>
      </c>
      <c r="H33" s="114">
        <f>_xlfn.COMPOUNDVALUE(92)</f>
        <v>54</v>
      </c>
      <c r="I33" s="116">
        <v>17956</v>
      </c>
      <c r="J33" s="114">
        <v>138</v>
      </c>
      <c r="K33" s="116">
        <v>26959</v>
      </c>
      <c r="L33" s="114">
        <v>1613</v>
      </c>
      <c r="M33" s="116">
        <v>973010</v>
      </c>
      <c r="N33" s="12" t="s">
        <v>43</v>
      </c>
    </row>
    <row r="34" spans="1:14" s="17" customFormat="1" ht="15.75" customHeight="1">
      <c r="A34" s="11" t="s">
        <v>44</v>
      </c>
      <c r="B34" s="114">
        <f>_xlfn.COMPOUNDVALUE(93)</f>
        <v>506</v>
      </c>
      <c r="C34" s="115">
        <v>418028</v>
      </c>
      <c r="D34" s="114">
        <f>_xlfn.COMPOUNDVALUE(94)</f>
        <v>577</v>
      </c>
      <c r="E34" s="115">
        <v>271888</v>
      </c>
      <c r="F34" s="114">
        <f>_xlfn.COMPOUNDVALUE(95)</f>
        <v>1083</v>
      </c>
      <c r="G34" s="115">
        <v>689916</v>
      </c>
      <c r="H34" s="114">
        <f>_xlfn.COMPOUNDVALUE(96)</f>
        <v>64</v>
      </c>
      <c r="I34" s="116">
        <v>40307</v>
      </c>
      <c r="J34" s="114">
        <v>60</v>
      </c>
      <c r="K34" s="116">
        <v>6521</v>
      </c>
      <c r="L34" s="114">
        <v>1165</v>
      </c>
      <c r="M34" s="116">
        <v>656130</v>
      </c>
      <c r="N34" s="12" t="s">
        <v>44</v>
      </c>
    </row>
    <row r="35" spans="1:14" s="17" customFormat="1" ht="15.75" customHeight="1">
      <c r="A35" s="11" t="s">
        <v>45</v>
      </c>
      <c r="B35" s="114">
        <f>_xlfn.COMPOUNDVALUE(97)</f>
        <v>580</v>
      </c>
      <c r="C35" s="115">
        <v>395958</v>
      </c>
      <c r="D35" s="114">
        <f>_xlfn.COMPOUNDVALUE(98)</f>
        <v>314</v>
      </c>
      <c r="E35" s="115">
        <v>141568</v>
      </c>
      <c r="F35" s="114">
        <f>_xlfn.COMPOUNDVALUE(99)</f>
        <v>894</v>
      </c>
      <c r="G35" s="115">
        <v>537526</v>
      </c>
      <c r="H35" s="114">
        <f>_xlfn.COMPOUNDVALUE(100)</f>
        <v>54</v>
      </c>
      <c r="I35" s="116">
        <v>30002</v>
      </c>
      <c r="J35" s="114">
        <v>71</v>
      </c>
      <c r="K35" s="116">
        <v>18988</v>
      </c>
      <c r="L35" s="114">
        <v>984</v>
      </c>
      <c r="M35" s="116">
        <v>526512</v>
      </c>
      <c r="N35" s="12" t="s">
        <v>45</v>
      </c>
    </row>
    <row r="36" spans="1:14" s="17" customFormat="1" ht="15.75" customHeight="1">
      <c r="A36" s="11" t="s">
        <v>46</v>
      </c>
      <c r="B36" s="114">
        <f>_xlfn.COMPOUNDVALUE(101)</f>
        <v>467</v>
      </c>
      <c r="C36" s="115">
        <v>260886</v>
      </c>
      <c r="D36" s="114">
        <f>_xlfn.COMPOUNDVALUE(102)</f>
        <v>406</v>
      </c>
      <c r="E36" s="115">
        <v>158477</v>
      </c>
      <c r="F36" s="114">
        <f>_xlfn.COMPOUNDVALUE(103)</f>
        <v>873</v>
      </c>
      <c r="G36" s="115">
        <v>419362</v>
      </c>
      <c r="H36" s="114">
        <f>_xlfn.COMPOUNDVALUE(104)</f>
        <v>26</v>
      </c>
      <c r="I36" s="116">
        <v>9600</v>
      </c>
      <c r="J36" s="114">
        <v>78</v>
      </c>
      <c r="K36" s="116">
        <v>14631</v>
      </c>
      <c r="L36" s="114">
        <v>923</v>
      </c>
      <c r="M36" s="116">
        <v>424392</v>
      </c>
      <c r="N36" s="12" t="s">
        <v>46</v>
      </c>
    </row>
    <row r="37" spans="1:14" s="17" customFormat="1" ht="15.75" customHeight="1">
      <c r="A37" s="11" t="s">
        <v>47</v>
      </c>
      <c r="B37" s="114">
        <f>_xlfn.COMPOUNDVALUE(105)</f>
        <v>462</v>
      </c>
      <c r="C37" s="115">
        <v>283869</v>
      </c>
      <c r="D37" s="114">
        <f>_xlfn.COMPOUNDVALUE(106)</f>
        <v>527</v>
      </c>
      <c r="E37" s="115">
        <v>217239</v>
      </c>
      <c r="F37" s="114">
        <f>_xlfn.COMPOUNDVALUE(107)</f>
        <v>989</v>
      </c>
      <c r="G37" s="115">
        <v>501107</v>
      </c>
      <c r="H37" s="114">
        <f>_xlfn.COMPOUNDVALUE(108)</f>
        <v>22</v>
      </c>
      <c r="I37" s="116">
        <v>15754</v>
      </c>
      <c r="J37" s="114">
        <v>51</v>
      </c>
      <c r="K37" s="116">
        <v>13734</v>
      </c>
      <c r="L37" s="114">
        <v>1035</v>
      </c>
      <c r="M37" s="116">
        <v>499088</v>
      </c>
      <c r="N37" s="12" t="s">
        <v>47</v>
      </c>
    </row>
    <row r="38" spans="1:14" s="17" customFormat="1" ht="15.75" customHeight="1">
      <c r="A38" s="11" t="s">
        <v>48</v>
      </c>
      <c r="B38" s="114">
        <f>_xlfn.COMPOUNDVALUE(109)</f>
        <v>946</v>
      </c>
      <c r="C38" s="115">
        <v>574747</v>
      </c>
      <c r="D38" s="114">
        <f>_xlfn.COMPOUNDVALUE(110)</f>
        <v>973</v>
      </c>
      <c r="E38" s="115">
        <v>402180</v>
      </c>
      <c r="F38" s="114">
        <f>_xlfn.COMPOUNDVALUE(111)</f>
        <v>1919</v>
      </c>
      <c r="G38" s="115">
        <v>976927</v>
      </c>
      <c r="H38" s="114">
        <f>_xlfn.COMPOUNDVALUE(112)</f>
        <v>37</v>
      </c>
      <c r="I38" s="116">
        <v>51083</v>
      </c>
      <c r="J38" s="114">
        <v>97</v>
      </c>
      <c r="K38" s="116">
        <v>13347</v>
      </c>
      <c r="L38" s="114">
        <v>1983</v>
      </c>
      <c r="M38" s="116">
        <v>939191</v>
      </c>
      <c r="N38" s="12" t="s">
        <v>48</v>
      </c>
    </row>
    <row r="39" spans="1:14" s="17" customFormat="1" ht="15.75" customHeight="1">
      <c r="A39" s="11" t="s">
        <v>49</v>
      </c>
      <c r="B39" s="114">
        <f>_xlfn.COMPOUNDVALUE(113)</f>
        <v>896</v>
      </c>
      <c r="C39" s="115">
        <v>418643</v>
      </c>
      <c r="D39" s="114">
        <f>_xlfn.COMPOUNDVALUE(114)</f>
        <v>806</v>
      </c>
      <c r="E39" s="115">
        <v>342173</v>
      </c>
      <c r="F39" s="114">
        <f>_xlfn.COMPOUNDVALUE(115)</f>
        <v>1702</v>
      </c>
      <c r="G39" s="115">
        <v>760816</v>
      </c>
      <c r="H39" s="114">
        <f>_xlfn.COMPOUNDVALUE(116)</f>
        <v>85</v>
      </c>
      <c r="I39" s="116">
        <v>59789</v>
      </c>
      <c r="J39" s="114">
        <v>191</v>
      </c>
      <c r="K39" s="116">
        <v>34180</v>
      </c>
      <c r="L39" s="114">
        <v>1912</v>
      </c>
      <c r="M39" s="116">
        <v>735206</v>
      </c>
      <c r="N39" s="12" t="s">
        <v>49</v>
      </c>
    </row>
    <row r="40" spans="1:14" s="17" customFormat="1" ht="15.75" customHeight="1">
      <c r="A40" s="11" t="s">
        <v>50</v>
      </c>
      <c r="B40" s="114">
        <f>_xlfn.COMPOUNDVALUE(117)</f>
        <v>1185</v>
      </c>
      <c r="C40" s="115">
        <v>603051</v>
      </c>
      <c r="D40" s="114">
        <f>_xlfn.COMPOUNDVALUE(118)</f>
        <v>1018</v>
      </c>
      <c r="E40" s="115">
        <v>435458</v>
      </c>
      <c r="F40" s="114">
        <f>_xlfn.COMPOUNDVALUE(119)</f>
        <v>2203</v>
      </c>
      <c r="G40" s="115">
        <v>1038509</v>
      </c>
      <c r="H40" s="114">
        <f>_xlfn.COMPOUNDVALUE(120)</f>
        <v>69</v>
      </c>
      <c r="I40" s="116">
        <v>33408</v>
      </c>
      <c r="J40" s="114">
        <v>187</v>
      </c>
      <c r="K40" s="116">
        <v>55849</v>
      </c>
      <c r="L40" s="114">
        <v>2377</v>
      </c>
      <c r="M40" s="116">
        <v>1060950</v>
      </c>
      <c r="N40" s="12" t="s">
        <v>50</v>
      </c>
    </row>
    <row r="41" spans="1:14" s="17" customFormat="1" ht="15.75" customHeight="1">
      <c r="A41" s="11" t="s">
        <v>51</v>
      </c>
      <c r="B41" s="114">
        <f>_xlfn.COMPOUNDVALUE(121)</f>
        <v>500</v>
      </c>
      <c r="C41" s="115">
        <v>314567</v>
      </c>
      <c r="D41" s="114">
        <f>_xlfn.COMPOUNDVALUE(122)</f>
        <v>571</v>
      </c>
      <c r="E41" s="115">
        <v>287429</v>
      </c>
      <c r="F41" s="114">
        <f>_xlfn.COMPOUNDVALUE(123)</f>
        <v>1071</v>
      </c>
      <c r="G41" s="115">
        <v>601996</v>
      </c>
      <c r="H41" s="114">
        <f>_xlfn.COMPOUNDVALUE(124)</f>
        <v>37</v>
      </c>
      <c r="I41" s="116">
        <v>45641</v>
      </c>
      <c r="J41" s="114">
        <v>105</v>
      </c>
      <c r="K41" s="116">
        <v>17929</v>
      </c>
      <c r="L41" s="114">
        <v>1135</v>
      </c>
      <c r="M41" s="116">
        <v>574284</v>
      </c>
      <c r="N41" s="12" t="s">
        <v>51</v>
      </c>
    </row>
    <row r="42" spans="1:14" s="17" customFormat="1" ht="15.75" customHeight="1">
      <c r="A42" s="11" t="s">
        <v>52</v>
      </c>
      <c r="B42" s="114">
        <f>_xlfn.COMPOUNDVALUE(125)</f>
        <v>1217</v>
      </c>
      <c r="C42" s="115">
        <v>583518</v>
      </c>
      <c r="D42" s="114">
        <f>_xlfn.COMPOUNDVALUE(126)</f>
        <v>956</v>
      </c>
      <c r="E42" s="115">
        <v>401210</v>
      </c>
      <c r="F42" s="114">
        <f>_xlfn.COMPOUNDVALUE(127)</f>
        <v>2173</v>
      </c>
      <c r="G42" s="115">
        <v>984728</v>
      </c>
      <c r="H42" s="114">
        <f>_xlfn.COMPOUNDVALUE(128)</f>
        <v>90</v>
      </c>
      <c r="I42" s="116">
        <v>52248</v>
      </c>
      <c r="J42" s="114">
        <v>128</v>
      </c>
      <c r="K42" s="116">
        <v>28948</v>
      </c>
      <c r="L42" s="114">
        <v>2334</v>
      </c>
      <c r="M42" s="116">
        <v>961427</v>
      </c>
      <c r="N42" s="12" t="s">
        <v>52</v>
      </c>
    </row>
    <row r="43" spans="1:14" s="17" customFormat="1" ht="15.75" customHeight="1">
      <c r="A43" s="11" t="s">
        <v>53</v>
      </c>
      <c r="B43" s="114">
        <f>_xlfn.COMPOUNDVALUE(129)</f>
        <v>1799</v>
      </c>
      <c r="C43" s="115">
        <v>975817</v>
      </c>
      <c r="D43" s="114">
        <f>_xlfn.COMPOUNDVALUE(130)</f>
        <v>1663</v>
      </c>
      <c r="E43" s="115">
        <v>668687</v>
      </c>
      <c r="F43" s="114">
        <f>_xlfn.COMPOUNDVALUE(131)</f>
        <v>3462</v>
      </c>
      <c r="G43" s="115">
        <v>1644504</v>
      </c>
      <c r="H43" s="114">
        <f>_xlfn.COMPOUNDVALUE(132)</f>
        <v>102</v>
      </c>
      <c r="I43" s="116">
        <v>61552</v>
      </c>
      <c r="J43" s="114">
        <v>260</v>
      </c>
      <c r="K43" s="116">
        <v>59230</v>
      </c>
      <c r="L43" s="114">
        <v>3681</v>
      </c>
      <c r="M43" s="116">
        <v>1642182</v>
      </c>
      <c r="N43" s="12" t="s">
        <v>53</v>
      </c>
    </row>
    <row r="44" spans="1:14" s="17" customFormat="1" ht="15.75" customHeight="1">
      <c r="A44" s="11" t="s">
        <v>54</v>
      </c>
      <c r="B44" s="114">
        <f>_xlfn.COMPOUNDVALUE(133)</f>
        <v>605</v>
      </c>
      <c r="C44" s="115">
        <v>350328</v>
      </c>
      <c r="D44" s="114">
        <f>_xlfn.COMPOUNDVALUE(134)</f>
        <v>437</v>
      </c>
      <c r="E44" s="115">
        <v>192552</v>
      </c>
      <c r="F44" s="114">
        <f>_xlfn.COMPOUNDVALUE(135)</f>
        <v>1042</v>
      </c>
      <c r="G44" s="115">
        <v>542879</v>
      </c>
      <c r="H44" s="114">
        <f>_xlfn.COMPOUNDVALUE(136)</f>
        <v>25</v>
      </c>
      <c r="I44" s="116">
        <v>5617</v>
      </c>
      <c r="J44" s="114">
        <v>110</v>
      </c>
      <c r="K44" s="116">
        <v>81430</v>
      </c>
      <c r="L44" s="114">
        <v>1080</v>
      </c>
      <c r="M44" s="116">
        <v>618692</v>
      </c>
      <c r="N44" s="12" t="s">
        <v>54</v>
      </c>
    </row>
    <row r="45" spans="1:14" s="17" customFormat="1" ht="15.75" customHeight="1">
      <c r="A45" s="11" t="s">
        <v>55</v>
      </c>
      <c r="B45" s="114">
        <f>_xlfn.COMPOUNDVALUE(137)</f>
        <v>1628</v>
      </c>
      <c r="C45" s="115">
        <v>973282</v>
      </c>
      <c r="D45" s="114">
        <f>_xlfn.COMPOUNDVALUE(138)</f>
        <v>1272</v>
      </c>
      <c r="E45" s="115">
        <v>592301</v>
      </c>
      <c r="F45" s="114">
        <f>_xlfn.COMPOUNDVALUE(139)</f>
        <v>2900</v>
      </c>
      <c r="G45" s="115">
        <v>1565583</v>
      </c>
      <c r="H45" s="114">
        <f>_xlfn.COMPOUNDVALUE(140)</f>
        <v>111</v>
      </c>
      <c r="I45" s="116">
        <v>224272</v>
      </c>
      <c r="J45" s="114">
        <v>313</v>
      </c>
      <c r="K45" s="116">
        <v>6475</v>
      </c>
      <c r="L45" s="114">
        <v>3157</v>
      </c>
      <c r="M45" s="116">
        <v>1347785</v>
      </c>
      <c r="N45" s="12" t="s">
        <v>55</v>
      </c>
    </row>
    <row r="46" spans="1:14" s="17" customFormat="1" ht="15.75" customHeight="1">
      <c r="A46" s="11" t="s">
        <v>56</v>
      </c>
      <c r="B46" s="114">
        <f>_xlfn.COMPOUNDVALUE(141)</f>
        <v>1281</v>
      </c>
      <c r="C46" s="115">
        <v>1416932</v>
      </c>
      <c r="D46" s="114">
        <f>_xlfn.COMPOUNDVALUE(142)</f>
        <v>1320</v>
      </c>
      <c r="E46" s="115">
        <v>826802</v>
      </c>
      <c r="F46" s="114">
        <f>_xlfn.COMPOUNDVALUE(143)</f>
        <v>2601</v>
      </c>
      <c r="G46" s="115">
        <v>2243735</v>
      </c>
      <c r="H46" s="114">
        <f>_xlfn.COMPOUNDVALUE(144)</f>
        <v>83</v>
      </c>
      <c r="I46" s="116">
        <v>125247</v>
      </c>
      <c r="J46" s="114">
        <v>217</v>
      </c>
      <c r="K46" s="116">
        <v>44573</v>
      </c>
      <c r="L46" s="114">
        <v>2746</v>
      </c>
      <c r="M46" s="116">
        <v>2163061</v>
      </c>
      <c r="N46" s="12" t="s">
        <v>56</v>
      </c>
    </row>
    <row r="47" spans="1:14" s="17" customFormat="1" ht="15.75" customHeight="1">
      <c r="A47" s="11" t="s">
        <v>57</v>
      </c>
      <c r="B47" s="114">
        <f>_xlfn.COMPOUNDVALUE(145)</f>
        <v>590</v>
      </c>
      <c r="C47" s="115">
        <v>372172</v>
      </c>
      <c r="D47" s="114">
        <f>_xlfn.COMPOUNDVALUE(146)</f>
        <v>506</v>
      </c>
      <c r="E47" s="115">
        <v>325593</v>
      </c>
      <c r="F47" s="114">
        <f>_xlfn.COMPOUNDVALUE(147)</f>
        <v>1096</v>
      </c>
      <c r="G47" s="115">
        <v>697765</v>
      </c>
      <c r="H47" s="114">
        <f>_xlfn.COMPOUNDVALUE(148)</f>
        <v>68</v>
      </c>
      <c r="I47" s="116">
        <v>23354</v>
      </c>
      <c r="J47" s="114">
        <v>80</v>
      </c>
      <c r="K47" s="116">
        <v>21736</v>
      </c>
      <c r="L47" s="114">
        <v>1195</v>
      </c>
      <c r="M47" s="116">
        <v>696146</v>
      </c>
      <c r="N47" s="12" t="s">
        <v>57</v>
      </c>
    </row>
    <row r="48" spans="1:14" s="17" customFormat="1" ht="15.75" customHeight="1">
      <c r="A48" s="11" t="s">
        <v>58</v>
      </c>
      <c r="B48" s="114">
        <f>_xlfn.COMPOUNDVALUE(149)</f>
        <v>904</v>
      </c>
      <c r="C48" s="115">
        <v>1058093</v>
      </c>
      <c r="D48" s="114">
        <f>_xlfn.COMPOUNDVALUE(150)</f>
        <v>956</v>
      </c>
      <c r="E48" s="115">
        <v>585895</v>
      </c>
      <c r="F48" s="114">
        <f>_xlfn.COMPOUNDVALUE(151)</f>
        <v>1860</v>
      </c>
      <c r="G48" s="115">
        <v>1643987</v>
      </c>
      <c r="H48" s="114">
        <f>_xlfn.COMPOUNDVALUE(152)</f>
        <v>109</v>
      </c>
      <c r="I48" s="116">
        <v>242425</v>
      </c>
      <c r="J48" s="114">
        <v>102</v>
      </c>
      <c r="K48" s="116">
        <v>24447</v>
      </c>
      <c r="L48" s="114">
        <v>1998</v>
      </c>
      <c r="M48" s="116">
        <v>1426008</v>
      </c>
      <c r="N48" s="12" t="s">
        <v>58</v>
      </c>
    </row>
    <row r="49" spans="1:14" s="17" customFormat="1" ht="15.75" customHeight="1">
      <c r="A49" s="11" t="s">
        <v>59</v>
      </c>
      <c r="B49" s="114">
        <f>_xlfn.COMPOUNDVALUE(153)</f>
        <v>959</v>
      </c>
      <c r="C49" s="115">
        <v>833256</v>
      </c>
      <c r="D49" s="114">
        <f>_xlfn.COMPOUNDVALUE(154)</f>
        <v>748</v>
      </c>
      <c r="E49" s="115">
        <v>395564</v>
      </c>
      <c r="F49" s="114">
        <f>_xlfn.COMPOUNDVALUE(155)</f>
        <v>1707</v>
      </c>
      <c r="G49" s="115">
        <v>1228819</v>
      </c>
      <c r="H49" s="114">
        <f>_xlfn.COMPOUNDVALUE(156)</f>
        <v>71</v>
      </c>
      <c r="I49" s="116">
        <v>32810</v>
      </c>
      <c r="J49" s="114">
        <v>167</v>
      </c>
      <c r="K49" s="116">
        <v>49606</v>
      </c>
      <c r="L49" s="114">
        <v>1852</v>
      </c>
      <c r="M49" s="116">
        <v>1245615</v>
      </c>
      <c r="N49" s="12" t="s">
        <v>59</v>
      </c>
    </row>
    <row r="50" spans="1:14" s="17" customFormat="1" ht="15.75" customHeight="1">
      <c r="A50" s="11" t="s">
        <v>60</v>
      </c>
      <c r="B50" s="114">
        <f>_xlfn.COMPOUNDVALUE(157)</f>
        <v>3963</v>
      </c>
      <c r="C50" s="115">
        <v>2004844</v>
      </c>
      <c r="D50" s="114">
        <f>_xlfn.COMPOUNDVALUE(158)</f>
        <v>2977</v>
      </c>
      <c r="E50" s="115">
        <v>1259768</v>
      </c>
      <c r="F50" s="114">
        <f>_xlfn.COMPOUNDVALUE(159)</f>
        <v>6940</v>
      </c>
      <c r="G50" s="115">
        <v>3264612</v>
      </c>
      <c r="H50" s="114">
        <f>_xlfn.COMPOUNDVALUE(160)</f>
        <v>279</v>
      </c>
      <c r="I50" s="116">
        <v>143218</v>
      </c>
      <c r="J50" s="114">
        <v>527</v>
      </c>
      <c r="K50" s="116">
        <v>124687</v>
      </c>
      <c r="L50" s="114">
        <v>7505</v>
      </c>
      <c r="M50" s="116">
        <v>3246081</v>
      </c>
      <c r="N50" s="12" t="s">
        <v>60</v>
      </c>
    </row>
    <row r="51" spans="1:14" s="17" customFormat="1" ht="15.75" customHeight="1">
      <c r="A51" s="11" t="s">
        <v>61</v>
      </c>
      <c r="B51" s="114">
        <f>_xlfn.COMPOUNDVALUE(161)</f>
        <v>1568</v>
      </c>
      <c r="C51" s="115">
        <v>821124</v>
      </c>
      <c r="D51" s="114">
        <f>_xlfn.COMPOUNDVALUE(162)</f>
        <v>1122</v>
      </c>
      <c r="E51" s="115">
        <v>448784</v>
      </c>
      <c r="F51" s="114">
        <f>_xlfn.COMPOUNDVALUE(163)</f>
        <v>2690</v>
      </c>
      <c r="G51" s="115">
        <v>1269907</v>
      </c>
      <c r="H51" s="114">
        <f>_xlfn.COMPOUNDVALUE(164)</f>
        <v>82</v>
      </c>
      <c r="I51" s="116">
        <v>77168</v>
      </c>
      <c r="J51" s="114">
        <v>255</v>
      </c>
      <c r="K51" s="116">
        <v>41920</v>
      </c>
      <c r="L51" s="114">
        <v>2865</v>
      </c>
      <c r="M51" s="116">
        <v>1234659</v>
      </c>
      <c r="N51" s="12" t="s">
        <v>61</v>
      </c>
    </row>
    <row r="52" spans="1:14" s="17" customFormat="1" ht="15.75" customHeight="1">
      <c r="A52" s="11" t="s">
        <v>62</v>
      </c>
      <c r="B52" s="114">
        <f>_xlfn.COMPOUNDVALUE(165)</f>
        <v>2673</v>
      </c>
      <c r="C52" s="115">
        <v>1662456</v>
      </c>
      <c r="D52" s="114">
        <f>_xlfn.COMPOUNDVALUE(166)</f>
        <v>2707</v>
      </c>
      <c r="E52" s="115">
        <v>1222183</v>
      </c>
      <c r="F52" s="114">
        <f>_xlfn.COMPOUNDVALUE(167)</f>
        <v>5380</v>
      </c>
      <c r="G52" s="115">
        <v>2884639</v>
      </c>
      <c r="H52" s="114">
        <f>_xlfn.COMPOUNDVALUE(168)</f>
        <v>231</v>
      </c>
      <c r="I52" s="116">
        <v>157256</v>
      </c>
      <c r="J52" s="114">
        <v>402</v>
      </c>
      <c r="K52" s="116">
        <v>82307</v>
      </c>
      <c r="L52" s="114">
        <v>5782</v>
      </c>
      <c r="M52" s="116">
        <v>2809689</v>
      </c>
      <c r="N52" s="12" t="s">
        <v>62</v>
      </c>
    </row>
    <row r="53" spans="1:14" s="17" customFormat="1" ht="15.75" customHeight="1">
      <c r="A53" s="11" t="s">
        <v>63</v>
      </c>
      <c r="B53" s="114">
        <f>_xlfn.COMPOUNDVALUE(169)</f>
        <v>1713</v>
      </c>
      <c r="C53" s="115">
        <v>973083</v>
      </c>
      <c r="D53" s="114">
        <f>_xlfn.COMPOUNDVALUE(170)</f>
        <v>1631</v>
      </c>
      <c r="E53" s="115">
        <v>781692</v>
      </c>
      <c r="F53" s="114">
        <f>_xlfn.COMPOUNDVALUE(171)</f>
        <v>3344</v>
      </c>
      <c r="G53" s="115">
        <v>1754776</v>
      </c>
      <c r="H53" s="114">
        <f>_xlfn.COMPOUNDVALUE(172)</f>
        <v>177</v>
      </c>
      <c r="I53" s="116">
        <v>121624</v>
      </c>
      <c r="J53" s="114">
        <v>307</v>
      </c>
      <c r="K53" s="116">
        <v>50723</v>
      </c>
      <c r="L53" s="114">
        <v>3675</v>
      </c>
      <c r="M53" s="116">
        <v>1683874</v>
      </c>
      <c r="N53" s="12" t="s">
        <v>63</v>
      </c>
    </row>
    <row r="54" spans="1:14" s="17" customFormat="1" ht="15.75" customHeight="1">
      <c r="A54" s="11" t="s">
        <v>64</v>
      </c>
      <c r="B54" s="114">
        <f>_xlfn.COMPOUNDVALUE(173)</f>
        <v>1637</v>
      </c>
      <c r="C54" s="115">
        <v>768841</v>
      </c>
      <c r="D54" s="114">
        <f>_xlfn.COMPOUNDVALUE(174)</f>
        <v>1086</v>
      </c>
      <c r="E54" s="115">
        <v>449482</v>
      </c>
      <c r="F54" s="114">
        <f>_xlfn.COMPOUNDVALUE(175)</f>
        <v>2723</v>
      </c>
      <c r="G54" s="115">
        <v>1218323</v>
      </c>
      <c r="H54" s="114">
        <f>_xlfn.COMPOUNDVALUE(176)</f>
        <v>119</v>
      </c>
      <c r="I54" s="116">
        <v>86960</v>
      </c>
      <c r="J54" s="114">
        <v>283</v>
      </c>
      <c r="K54" s="116">
        <v>57519</v>
      </c>
      <c r="L54" s="114">
        <v>2966</v>
      </c>
      <c r="M54" s="116">
        <v>1188882</v>
      </c>
      <c r="N54" s="12" t="s">
        <v>64</v>
      </c>
    </row>
    <row r="55" spans="1:14" s="17" customFormat="1" ht="15.75" customHeight="1">
      <c r="A55" s="13" t="s">
        <v>65</v>
      </c>
      <c r="B55" s="119">
        <f>_xlfn.COMPOUNDVALUE(177)</f>
        <v>2794</v>
      </c>
      <c r="C55" s="120">
        <v>1381594</v>
      </c>
      <c r="D55" s="119">
        <f>_xlfn.COMPOUNDVALUE(178)</f>
        <v>2288</v>
      </c>
      <c r="E55" s="120">
        <v>1043910</v>
      </c>
      <c r="F55" s="119">
        <f>_xlfn.COMPOUNDVALUE(179)</f>
        <v>5082</v>
      </c>
      <c r="G55" s="120">
        <v>2425504</v>
      </c>
      <c r="H55" s="119">
        <f>_xlfn.COMPOUNDVALUE(180)</f>
        <v>184</v>
      </c>
      <c r="I55" s="121">
        <v>112226</v>
      </c>
      <c r="J55" s="119">
        <v>422</v>
      </c>
      <c r="K55" s="121">
        <v>71358</v>
      </c>
      <c r="L55" s="119">
        <v>5469</v>
      </c>
      <c r="M55" s="121">
        <v>2384636</v>
      </c>
      <c r="N55" s="14" t="s">
        <v>65</v>
      </c>
    </row>
    <row r="56" spans="1:14" s="17" customFormat="1" ht="15.75" customHeight="1">
      <c r="A56" s="13" t="s">
        <v>66</v>
      </c>
      <c r="B56" s="119">
        <f>_xlfn.COMPOUNDVALUE(181)</f>
        <v>2114</v>
      </c>
      <c r="C56" s="120">
        <v>1159495</v>
      </c>
      <c r="D56" s="119">
        <f>_xlfn.COMPOUNDVALUE(182)</f>
        <v>1900</v>
      </c>
      <c r="E56" s="120">
        <v>850823</v>
      </c>
      <c r="F56" s="119">
        <f>_xlfn.COMPOUNDVALUE(183)</f>
        <v>4014</v>
      </c>
      <c r="G56" s="120">
        <v>2010318</v>
      </c>
      <c r="H56" s="119">
        <f>_xlfn.COMPOUNDVALUE(184)</f>
        <v>142</v>
      </c>
      <c r="I56" s="121">
        <v>118619</v>
      </c>
      <c r="J56" s="119">
        <v>274</v>
      </c>
      <c r="K56" s="121">
        <v>60928</v>
      </c>
      <c r="L56" s="119">
        <v>4291</v>
      </c>
      <c r="M56" s="121">
        <v>1952626</v>
      </c>
      <c r="N56" s="14" t="s">
        <v>66</v>
      </c>
    </row>
    <row r="57" spans="1:14" s="17" customFormat="1" ht="15.75" customHeight="1">
      <c r="A57" s="13" t="s">
        <v>67</v>
      </c>
      <c r="B57" s="119">
        <f>_xlfn.COMPOUNDVALUE(185)</f>
        <v>2579</v>
      </c>
      <c r="C57" s="120">
        <v>1317288</v>
      </c>
      <c r="D57" s="119">
        <f>_xlfn.COMPOUNDVALUE(186)</f>
        <v>2147</v>
      </c>
      <c r="E57" s="120">
        <v>901506</v>
      </c>
      <c r="F57" s="119">
        <f>_xlfn.COMPOUNDVALUE(187)</f>
        <v>4726</v>
      </c>
      <c r="G57" s="120">
        <v>2218793</v>
      </c>
      <c r="H57" s="119">
        <f>_xlfn.COMPOUNDVALUE(188)</f>
        <v>146</v>
      </c>
      <c r="I57" s="121">
        <v>220438</v>
      </c>
      <c r="J57" s="119">
        <v>403</v>
      </c>
      <c r="K57" s="121">
        <v>89685</v>
      </c>
      <c r="L57" s="119">
        <v>5077</v>
      </c>
      <c r="M57" s="121">
        <v>2088040</v>
      </c>
      <c r="N57" s="14" t="s">
        <v>67</v>
      </c>
    </row>
    <row r="58" spans="1:14" s="17" customFormat="1" ht="15.75" customHeight="1">
      <c r="A58" s="13" t="s">
        <v>68</v>
      </c>
      <c r="B58" s="119">
        <f>_xlfn.COMPOUNDVALUE(189)</f>
        <v>1393</v>
      </c>
      <c r="C58" s="120">
        <v>673914</v>
      </c>
      <c r="D58" s="119">
        <f>_xlfn.COMPOUNDVALUE(190)</f>
        <v>987</v>
      </c>
      <c r="E58" s="120">
        <v>396384</v>
      </c>
      <c r="F58" s="119">
        <f>_xlfn.COMPOUNDVALUE(191)</f>
        <v>2380</v>
      </c>
      <c r="G58" s="120">
        <v>1070298</v>
      </c>
      <c r="H58" s="119">
        <f>_xlfn.COMPOUNDVALUE(192)</f>
        <v>109</v>
      </c>
      <c r="I58" s="121">
        <v>73067</v>
      </c>
      <c r="J58" s="119">
        <v>211</v>
      </c>
      <c r="K58" s="121">
        <v>38484</v>
      </c>
      <c r="L58" s="119">
        <v>2561</v>
      </c>
      <c r="M58" s="121">
        <v>1035715</v>
      </c>
      <c r="N58" s="14" t="s">
        <v>68</v>
      </c>
    </row>
    <row r="59" spans="1:14" s="17" customFormat="1" ht="15.75" customHeight="1">
      <c r="A59" s="13" t="s">
        <v>69</v>
      </c>
      <c r="B59" s="119">
        <f>_xlfn.COMPOUNDVALUE(193)</f>
        <v>2325</v>
      </c>
      <c r="C59" s="120">
        <v>1340846</v>
      </c>
      <c r="D59" s="119">
        <f>_xlfn.COMPOUNDVALUE(194)</f>
        <v>1795</v>
      </c>
      <c r="E59" s="120">
        <v>740834</v>
      </c>
      <c r="F59" s="119">
        <f>_xlfn.COMPOUNDVALUE(195)</f>
        <v>4120</v>
      </c>
      <c r="G59" s="120">
        <v>2081680</v>
      </c>
      <c r="H59" s="119">
        <f>_xlfn.COMPOUNDVALUE(196)</f>
        <v>160</v>
      </c>
      <c r="I59" s="121">
        <v>80418</v>
      </c>
      <c r="J59" s="119">
        <v>255</v>
      </c>
      <c r="K59" s="121">
        <v>77237</v>
      </c>
      <c r="L59" s="119">
        <v>4392</v>
      </c>
      <c r="M59" s="121">
        <v>2078499</v>
      </c>
      <c r="N59" s="14" t="s">
        <v>69</v>
      </c>
    </row>
    <row r="60" spans="1:14" s="17" customFormat="1" ht="15.75" customHeight="1">
      <c r="A60" s="13" t="s">
        <v>70</v>
      </c>
      <c r="B60" s="119">
        <f>_xlfn.COMPOUNDVALUE(197)</f>
        <v>2378</v>
      </c>
      <c r="C60" s="120">
        <v>1113993</v>
      </c>
      <c r="D60" s="119">
        <f>_xlfn.COMPOUNDVALUE(198)</f>
        <v>1850</v>
      </c>
      <c r="E60" s="120">
        <v>821370</v>
      </c>
      <c r="F60" s="119">
        <f>_xlfn.COMPOUNDVALUE(199)</f>
        <v>4228</v>
      </c>
      <c r="G60" s="120">
        <v>1935362</v>
      </c>
      <c r="H60" s="119">
        <f>_xlfn.COMPOUNDVALUE(200)</f>
        <v>118</v>
      </c>
      <c r="I60" s="121">
        <v>58697</v>
      </c>
      <c r="J60" s="119">
        <v>387</v>
      </c>
      <c r="K60" s="121">
        <v>74683</v>
      </c>
      <c r="L60" s="119">
        <v>4527</v>
      </c>
      <c r="M60" s="121">
        <v>1951349</v>
      </c>
      <c r="N60" s="14" t="s">
        <v>70</v>
      </c>
    </row>
    <row r="61" spans="1:14" s="17" customFormat="1" ht="15.75" customHeight="1">
      <c r="A61" s="13" t="s">
        <v>71</v>
      </c>
      <c r="B61" s="119">
        <f>_xlfn.COMPOUNDVALUE(201)</f>
        <v>2908</v>
      </c>
      <c r="C61" s="120">
        <v>1753035</v>
      </c>
      <c r="D61" s="119">
        <f>_xlfn.COMPOUNDVALUE(202)</f>
        <v>2960</v>
      </c>
      <c r="E61" s="120">
        <v>1292862</v>
      </c>
      <c r="F61" s="119">
        <f>_xlfn.COMPOUNDVALUE(203)</f>
        <v>5868</v>
      </c>
      <c r="G61" s="120">
        <v>3045897</v>
      </c>
      <c r="H61" s="119">
        <f>_xlfn.COMPOUNDVALUE(204)</f>
        <v>177</v>
      </c>
      <c r="I61" s="121">
        <v>127260</v>
      </c>
      <c r="J61" s="119">
        <v>440</v>
      </c>
      <c r="K61" s="121">
        <v>175365</v>
      </c>
      <c r="L61" s="119">
        <v>6255</v>
      </c>
      <c r="M61" s="121">
        <v>3094001</v>
      </c>
      <c r="N61" s="14" t="s">
        <v>71</v>
      </c>
    </row>
    <row r="62" spans="1:14" s="17" customFormat="1" ht="15.75" customHeight="1">
      <c r="A62" s="15" t="s">
        <v>72</v>
      </c>
      <c r="B62" s="124">
        <v>45085</v>
      </c>
      <c r="C62" s="125">
        <v>26596518</v>
      </c>
      <c r="D62" s="124">
        <v>38415</v>
      </c>
      <c r="E62" s="125">
        <v>17287685</v>
      </c>
      <c r="F62" s="124">
        <v>83500</v>
      </c>
      <c r="G62" s="125">
        <v>43884204</v>
      </c>
      <c r="H62" s="124">
        <v>3187</v>
      </c>
      <c r="I62" s="126">
        <v>2529595</v>
      </c>
      <c r="J62" s="124">
        <v>6737</v>
      </c>
      <c r="K62" s="126">
        <v>1511052</v>
      </c>
      <c r="L62" s="124">
        <v>89672</v>
      </c>
      <c r="M62" s="126">
        <v>42865660</v>
      </c>
      <c r="N62" s="16" t="s">
        <v>125</v>
      </c>
    </row>
    <row r="63" spans="1:14" s="17" customFormat="1" ht="15.75" customHeight="1">
      <c r="A63" s="23"/>
      <c r="B63" s="129"/>
      <c r="C63" s="130"/>
      <c r="D63" s="129"/>
      <c r="E63" s="130"/>
      <c r="F63" s="131"/>
      <c r="G63" s="130"/>
      <c r="H63" s="131"/>
      <c r="I63" s="130"/>
      <c r="J63" s="131"/>
      <c r="K63" s="130"/>
      <c r="L63" s="131"/>
      <c r="M63" s="130"/>
      <c r="N63" s="24"/>
    </row>
    <row r="64" spans="1:14" s="17" customFormat="1" ht="15.75" customHeight="1">
      <c r="A64" s="11" t="s">
        <v>73</v>
      </c>
      <c r="B64" s="114">
        <f>_xlfn.COMPOUNDVALUE(205)</f>
        <v>594</v>
      </c>
      <c r="C64" s="115">
        <v>339362</v>
      </c>
      <c r="D64" s="114">
        <f>_xlfn.COMPOUNDVALUE(206)</f>
        <v>535</v>
      </c>
      <c r="E64" s="115">
        <v>225003</v>
      </c>
      <c r="F64" s="114">
        <f>_xlfn.COMPOUNDVALUE(207)</f>
        <v>1129</v>
      </c>
      <c r="G64" s="115">
        <v>564364</v>
      </c>
      <c r="H64" s="114">
        <f>_xlfn.COMPOUNDVALUE(208)</f>
        <v>61</v>
      </c>
      <c r="I64" s="116">
        <v>39584</v>
      </c>
      <c r="J64" s="114">
        <v>85</v>
      </c>
      <c r="K64" s="116">
        <v>11209</v>
      </c>
      <c r="L64" s="114">
        <v>1219</v>
      </c>
      <c r="M64" s="116">
        <v>535989</v>
      </c>
      <c r="N64" s="25" t="s">
        <v>73</v>
      </c>
    </row>
    <row r="65" spans="1:14" s="17" customFormat="1" ht="15.75" customHeight="1">
      <c r="A65" s="11" t="s">
        <v>74</v>
      </c>
      <c r="B65" s="114">
        <f>_xlfn.COMPOUNDVALUE(209)</f>
        <v>1538</v>
      </c>
      <c r="C65" s="115">
        <v>815805</v>
      </c>
      <c r="D65" s="114">
        <f>_xlfn.COMPOUNDVALUE(210)</f>
        <v>1238</v>
      </c>
      <c r="E65" s="115">
        <v>540204</v>
      </c>
      <c r="F65" s="114">
        <f>_xlfn.COMPOUNDVALUE(211)</f>
        <v>2776</v>
      </c>
      <c r="G65" s="115">
        <v>1356009</v>
      </c>
      <c r="H65" s="114">
        <f>_xlfn.COMPOUNDVALUE(212)</f>
        <v>174</v>
      </c>
      <c r="I65" s="116">
        <v>270902</v>
      </c>
      <c r="J65" s="114">
        <v>391</v>
      </c>
      <c r="K65" s="116">
        <v>61822</v>
      </c>
      <c r="L65" s="114">
        <v>3090</v>
      </c>
      <c r="M65" s="116">
        <v>1146930</v>
      </c>
      <c r="N65" s="12" t="s">
        <v>74</v>
      </c>
    </row>
    <row r="66" spans="1:14" s="17" customFormat="1" ht="15.75" customHeight="1">
      <c r="A66" s="11" t="s">
        <v>75</v>
      </c>
      <c r="B66" s="114">
        <f>_xlfn.COMPOUNDVALUE(213)</f>
        <v>662</v>
      </c>
      <c r="C66" s="115">
        <v>373440</v>
      </c>
      <c r="D66" s="114">
        <f>_xlfn.COMPOUNDVALUE(214)</f>
        <v>462</v>
      </c>
      <c r="E66" s="115">
        <v>181219</v>
      </c>
      <c r="F66" s="114">
        <f>_xlfn.COMPOUNDVALUE(215)</f>
        <v>1124</v>
      </c>
      <c r="G66" s="115">
        <v>554658</v>
      </c>
      <c r="H66" s="114">
        <f>_xlfn.COMPOUNDVALUE(216)</f>
        <v>27</v>
      </c>
      <c r="I66" s="116">
        <v>12370</v>
      </c>
      <c r="J66" s="114">
        <v>98</v>
      </c>
      <c r="K66" s="116">
        <v>20993</v>
      </c>
      <c r="L66" s="114">
        <v>1187</v>
      </c>
      <c r="M66" s="116">
        <v>563282</v>
      </c>
      <c r="N66" s="12" t="s">
        <v>75</v>
      </c>
    </row>
    <row r="67" spans="1:14" s="17" customFormat="1" ht="15.75" customHeight="1">
      <c r="A67" s="11" t="s">
        <v>76</v>
      </c>
      <c r="B67" s="114">
        <f>_xlfn.COMPOUNDVALUE(217)</f>
        <v>1166</v>
      </c>
      <c r="C67" s="115">
        <v>549698</v>
      </c>
      <c r="D67" s="114">
        <f>_xlfn.COMPOUNDVALUE(218)</f>
        <v>1007</v>
      </c>
      <c r="E67" s="115">
        <v>436187</v>
      </c>
      <c r="F67" s="114">
        <f>_xlfn.COMPOUNDVALUE(219)</f>
        <v>2173</v>
      </c>
      <c r="G67" s="115">
        <v>985885</v>
      </c>
      <c r="H67" s="114">
        <f>_xlfn.COMPOUNDVALUE(220)</f>
        <v>130</v>
      </c>
      <c r="I67" s="116">
        <v>83901</v>
      </c>
      <c r="J67" s="114">
        <v>195</v>
      </c>
      <c r="K67" s="116">
        <v>32662</v>
      </c>
      <c r="L67" s="114">
        <v>2388</v>
      </c>
      <c r="M67" s="116">
        <v>934646</v>
      </c>
      <c r="N67" s="12" t="s">
        <v>76</v>
      </c>
    </row>
    <row r="68" spans="1:14" s="17" customFormat="1" ht="15.75" customHeight="1">
      <c r="A68" s="11" t="s">
        <v>77</v>
      </c>
      <c r="B68" s="114">
        <f>_xlfn.COMPOUNDVALUE(221)</f>
        <v>1146</v>
      </c>
      <c r="C68" s="115">
        <v>844451</v>
      </c>
      <c r="D68" s="114">
        <f>_xlfn.COMPOUNDVALUE(222)</f>
        <v>1149</v>
      </c>
      <c r="E68" s="115">
        <v>589034</v>
      </c>
      <c r="F68" s="114">
        <f>_xlfn.COMPOUNDVALUE(223)</f>
        <v>2295</v>
      </c>
      <c r="G68" s="115">
        <v>1433486</v>
      </c>
      <c r="H68" s="114">
        <f>_xlfn.COMPOUNDVALUE(224)</f>
        <v>358</v>
      </c>
      <c r="I68" s="116">
        <v>445704</v>
      </c>
      <c r="J68" s="114">
        <v>130</v>
      </c>
      <c r="K68" s="116">
        <v>51140</v>
      </c>
      <c r="L68" s="114">
        <v>2703</v>
      </c>
      <c r="M68" s="116">
        <v>1038922</v>
      </c>
      <c r="N68" s="12" t="s">
        <v>77</v>
      </c>
    </row>
    <row r="69" spans="1:14" s="17" customFormat="1" ht="15.75" customHeight="1">
      <c r="A69" s="11" t="s">
        <v>78</v>
      </c>
      <c r="B69" s="114">
        <f>_xlfn.COMPOUNDVALUE(225)</f>
        <v>3124</v>
      </c>
      <c r="C69" s="115">
        <v>1976713</v>
      </c>
      <c r="D69" s="114">
        <f>_xlfn.COMPOUNDVALUE(226)</f>
        <v>2573</v>
      </c>
      <c r="E69" s="115">
        <v>1110937</v>
      </c>
      <c r="F69" s="114">
        <f>_xlfn.COMPOUNDVALUE(227)</f>
        <v>5697</v>
      </c>
      <c r="G69" s="115">
        <v>3087650</v>
      </c>
      <c r="H69" s="114">
        <f>_xlfn.COMPOUNDVALUE(228)</f>
        <v>202</v>
      </c>
      <c r="I69" s="116">
        <v>177324</v>
      </c>
      <c r="J69" s="114">
        <v>444</v>
      </c>
      <c r="K69" s="116">
        <v>72194</v>
      </c>
      <c r="L69" s="114">
        <v>6088</v>
      </c>
      <c r="M69" s="116">
        <v>2982520</v>
      </c>
      <c r="N69" s="12" t="s">
        <v>78</v>
      </c>
    </row>
    <row r="70" spans="1:14" s="17" customFormat="1" ht="15.75" customHeight="1">
      <c r="A70" s="11" t="s">
        <v>79</v>
      </c>
      <c r="B70" s="114">
        <f>_xlfn.COMPOUNDVALUE(229)</f>
        <v>2033</v>
      </c>
      <c r="C70" s="115">
        <v>1116224</v>
      </c>
      <c r="D70" s="114">
        <f>_xlfn.COMPOUNDVALUE(230)</f>
        <v>1828</v>
      </c>
      <c r="E70" s="115">
        <v>821944</v>
      </c>
      <c r="F70" s="114">
        <f>_xlfn.COMPOUNDVALUE(231)</f>
        <v>3861</v>
      </c>
      <c r="G70" s="115">
        <v>1938168</v>
      </c>
      <c r="H70" s="114">
        <f>_xlfn.COMPOUNDVALUE(232)</f>
        <v>104</v>
      </c>
      <c r="I70" s="116">
        <v>92756</v>
      </c>
      <c r="J70" s="114">
        <v>257</v>
      </c>
      <c r="K70" s="116">
        <v>52311</v>
      </c>
      <c r="L70" s="114">
        <v>4076</v>
      </c>
      <c r="M70" s="116">
        <v>1897722</v>
      </c>
      <c r="N70" s="12" t="s">
        <v>79</v>
      </c>
    </row>
    <row r="71" spans="1:14" s="17" customFormat="1" ht="15.75" customHeight="1">
      <c r="A71" s="11" t="s">
        <v>80</v>
      </c>
      <c r="B71" s="114">
        <f>_xlfn.COMPOUNDVALUE(233)</f>
        <v>1624</v>
      </c>
      <c r="C71" s="115">
        <v>770079</v>
      </c>
      <c r="D71" s="114">
        <f>_xlfn.COMPOUNDVALUE(234)</f>
        <v>2085</v>
      </c>
      <c r="E71" s="115">
        <v>867123</v>
      </c>
      <c r="F71" s="114">
        <f>_xlfn.COMPOUNDVALUE(235)</f>
        <v>3709</v>
      </c>
      <c r="G71" s="115">
        <v>1637202</v>
      </c>
      <c r="H71" s="114">
        <f>_xlfn.COMPOUNDVALUE(236)</f>
        <v>142</v>
      </c>
      <c r="I71" s="116">
        <v>198498</v>
      </c>
      <c r="J71" s="114">
        <v>284</v>
      </c>
      <c r="K71" s="116">
        <v>58921</v>
      </c>
      <c r="L71" s="114">
        <v>4018</v>
      </c>
      <c r="M71" s="116">
        <v>1497625</v>
      </c>
      <c r="N71" s="12" t="s">
        <v>80</v>
      </c>
    </row>
    <row r="72" spans="1:14" s="17" customFormat="1" ht="15.75" customHeight="1">
      <c r="A72" s="11" t="s">
        <v>81</v>
      </c>
      <c r="B72" s="114">
        <f>_xlfn.COMPOUNDVALUE(237)</f>
        <v>2341</v>
      </c>
      <c r="C72" s="115">
        <v>1589680</v>
      </c>
      <c r="D72" s="114">
        <f>_xlfn.COMPOUNDVALUE(238)</f>
        <v>2635</v>
      </c>
      <c r="E72" s="115">
        <v>1248558</v>
      </c>
      <c r="F72" s="114">
        <f>_xlfn.COMPOUNDVALUE(239)</f>
        <v>4976</v>
      </c>
      <c r="G72" s="115">
        <v>2838238</v>
      </c>
      <c r="H72" s="114">
        <f>_xlfn.COMPOUNDVALUE(240)</f>
        <v>228</v>
      </c>
      <c r="I72" s="116">
        <v>239943</v>
      </c>
      <c r="J72" s="114">
        <v>326</v>
      </c>
      <c r="K72" s="116">
        <v>88398</v>
      </c>
      <c r="L72" s="114">
        <v>5349</v>
      </c>
      <c r="M72" s="116">
        <v>2686692</v>
      </c>
      <c r="N72" s="12" t="s">
        <v>81</v>
      </c>
    </row>
    <row r="73" spans="1:14" s="17" customFormat="1" ht="15.75" customHeight="1">
      <c r="A73" s="11" t="s">
        <v>82</v>
      </c>
      <c r="B73" s="114">
        <f>_xlfn.COMPOUNDVALUE(241)</f>
        <v>949</v>
      </c>
      <c r="C73" s="115">
        <v>638668</v>
      </c>
      <c r="D73" s="114">
        <f>_xlfn.COMPOUNDVALUE(242)</f>
        <v>1604</v>
      </c>
      <c r="E73" s="115">
        <v>581036</v>
      </c>
      <c r="F73" s="114">
        <f>_xlfn.COMPOUNDVALUE(243)</f>
        <v>2553</v>
      </c>
      <c r="G73" s="115">
        <v>1219704</v>
      </c>
      <c r="H73" s="114">
        <f>_xlfn.COMPOUNDVALUE(244)</f>
        <v>61</v>
      </c>
      <c r="I73" s="116">
        <v>27665</v>
      </c>
      <c r="J73" s="114">
        <v>200</v>
      </c>
      <c r="K73" s="116">
        <v>24985</v>
      </c>
      <c r="L73" s="114">
        <v>2670</v>
      </c>
      <c r="M73" s="116">
        <v>1217023</v>
      </c>
      <c r="N73" s="12" t="s">
        <v>82</v>
      </c>
    </row>
    <row r="74" spans="1:14" s="17" customFormat="1" ht="15.75" customHeight="1">
      <c r="A74" s="11" t="s">
        <v>83</v>
      </c>
      <c r="B74" s="114">
        <f>_xlfn.COMPOUNDVALUE(245)</f>
        <v>1090</v>
      </c>
      <c r="C74" s="115">
        <v>848125</v>
      </c>
      <c r="D74" s="114">
        <f>_xlfn.COMPOUNDVALUE(246)</f>
        <v>1218</v>
      </c>
      <c r="E74" s="115">
        <v>633215</v>
      </c>
      <c r="F74" s="114">
        <f>_xlfn.COMPOUNDVALUE(247)</f>
        <v>2308</v>
      </c>
      <c r="G74" s="115">
        <v>1481340</v>
      </c>
      <c r="H74" s="114">
        <f>_xlfn.COMPOUNDVALUE(248)</f>
        <v>172</v>
      </c>
      <c r="I74" s="116">
        <v>162660</v>
      </c>
      <c r="J74" s="114">
        <v>160</v>
      </c>
      <c r="K74" s="116">
        <v>24049</v>
      </c>
      <c r="L74" s="114">
        <v>2546</v>
      </c>
      <c r="M74" s="116">
        <v>1342729</v>
      </c>
      <c r="N74" s="12" t="s">
        <v>83</v>
      </c>
    </row>
    <row r="75" spans="1:14" s="17" customFormat="1" ht="15.75" customHeight="1">
      <c r="A75" s="11" t="s">
        <v>84</v>
      </c>
      <c r="B75" s="114">
        <f>_xlfn.COMPOUNDVALUE(249)</f>
        <v>1357</v>
      </c>
      <c r="C75" s="115">
        <v>653671</v>
      </c>
      <c r="D75" s="114">
        <f>_xlfn.COMPOUNDVALUE(250)</f>
        <v>1366</v>
      </c>
      <c r="E75" s="115">
        <v>570574</v>
      </c>
      <c r="F75" s="114">
        <f>_xlfn.COMPOUNDVALUE(251)</f>
        <v>2723</v>
      </c>
      <c r="G75" s="115">
        <v>1224245</v>
      </c>
      <c r="H75" s="114">
        <f>_xlfn.COMPOUNDVALUE(252)</f>
        <v>123</v>
      </c>
      <c r="I75" s="116">
        <v>90353</v>
      </c>
      <c r="J75" s="114">
        <v>271</v>
      </c>
      <c r="K75" s="116">
        <v>78459</v>
      </c>
      <c r="L75" s="114">
        <v>2976</v>
      </c>
      <c r="M75" s="116">
        <v>1212352</v>
      </c>
      <c r="N75" s="12" t="s">
        <v>84</v>
      </c>
    </row>
    <row r="76" spans="1:14" s="17" customFormat="1" ht="15.75" customHeight="1">
      <c r="A76" s="11" t="s">
        <v>85</v>
      </c>
      <c r="B76" s="114">
        <f>_xlfn.COMPOUNDVALUE(253)</f>
        <v>452</v>
      </c>
      <c r="C76" s="115">
        <v>338785</v>
      </c>
      <c r="D76" s="114">
        <f>_xlfn.COMPOUNDVALUE(254)</f>
        <v>475</v>
      </c>
      <c r="E76" s="115">
        <v>188277</v>
      </c>
      <c r="F76" s="114">
        <f>_xlfn.COMPOUNDVALUE(255)</f>
        <v>927</v>
      </c>
      <c r="G76" s="115">
        <v>527062</v>
      </c>
      <c r="H76" s="114">
        <f>_xlfn.COMPOUNDVALUE(256)</f>
        <v>34</v>
      </c>
      <c r="I76" s="116">
        <v>35460</v>
      </c>
      <c r="J76" s="114">
        <v>46</v>
      </c>
      <c r="K76" s="116">
        <v>25543</v>
      </c>
      <c r="L76" s="114">
        <v>973</v>
      </c>
      <c r="M76" s="116">
        <v>517144</v>
      </c>
      <c r="N76" s="12" t="s">
        <v>85</v>
      </c>
    </row>
    <row r="77" spans="1:14" s="17" customFormat="1" ht="15.75" customHeight="1">
      <c r="A77" s="11" t="s">
        <v>86</v>
      </c>
      <c r="B77" s="114">
        <f>_xlfn.COMPOUNDVALUE(257)</f>
        <v>843</v>
      </c>
      <c r="C77" s="115">
        <v>680641</v>
      </c>
      <c r="D77" s="114">
        <f>_xlfn.COMPOUNDVALUE(258)</f>
        <v>825</v>
      </c>
      <c r="E77" s="115">
        <v>328773</v>
      </c>
      <c r="F77" s="114">
        <f>_xlfn.COMPOUNDVALUE(259)</f>
        <v>1668</v>
      </c>
      <c r="G77" s="115">
        <v>1009415</v>
      </c>
      <c r="H77" s="114">
        <f>_xlfn.COMPOUNDVALUE(260)</f>
        <v>41</v>
      </c>
      <c r="I77" s="116">
        <v>18858</v>
      </c>
      <c r="J77" s="114">
        <v>99</v>
      </c>
      <c r="K77" s="116">
        <v>19284</v>
      </c>
      <c r="L77" s="114">
        <v>1733</v>
      </c>
      <c r="M77" s="116">
        <v>1009841</v>
      </c>
      <c r="N77" s="12" t="s">
        <v>86</v>
      </c>
    </row>
    <row r="78" spans="1:14" s="17" customFormat="1" ht="15.75" customHeight="1">
      <c r="A78" s="13" t="s">
        <v>87</v>
      </c>
      <c r="B78" s="119">
        <f>_xlfn.COMPOUNDVALUE(261)</f>
        <v>1708</v>
      </c>
      <c r="C78" s="120">
        <v>920631</v>
      </c>
      <c r="D78" s="119">
        <f>_xlfn.COMPOUNDVALUE(262)</f>
        <v>1207</v>
      </c>
      <c r="E78" s="120">
        <v>511318</v>
      </c>
      <c r="F78" s="119">
        <f>_xlfn.COMPOUNDVALUE(263)</f>
        <v>2915</v>
      </c>
      <c r="G78" s="120">
        <v>1431949</v>
      </c>
      <c r="H78" s="119">
        <f>_xlfn.COMPOUNDVALUE(264)</f>
        <v>119</v>
      </c>
      <c r="I78" s="121">
        <v>57952</v>
      </c>
      <c r="J78" s="119">
        <v>290</v>
      </c>
      <c r="K78" s="121">
        <v>49374</v>
      </c>
      <c r="L78" s="119">
        <v>3142</v>
      </c>
      <c r="M78" s="121">
        <v>1423370</v>
      </c>
      <c r="N78" s="14" t="s">
        <v>87</v>
      </c>
    </row>
    <row r="79" spans="1:14" s="17" customFormat="1" ht="15.75" customHeight="1">
      <c r="A79" s="13" t="s">
        <v>88</v>
      </c>
      <c r="B79" s="119">
        <f>_xlfn.COMPOUNDVALUE(265)</f>
        <v>907</v>
      </c>
      <c r="C79" s="120">
        <v>673001</v>
      </c>
      <c r="D79" s="119">
        <f>_xlfn.COMPOUNDVALUE(266)</f>
        <v>1030</v>
      </c>
      <c r="E79" s="120">
        <v>444229</v>
      </c>
      <c r="F79" s="119">
        <f>_xlfn.COMPOUNDVALUE(267)</f>
        <v>1937</v>
      </c>
      <c r="G79" s="120">
        <v>1117230</v>
      </c>
      <c r="H79" s="119">
        <f>_xlfn.COMPOUNDVALUE(268)</f>
        <v>57</v>
      </c>
      <c r="I79" s="121">
        <v>28999</v>
      </c>
      <c r="J79" s="119">
        <v>151</v>
      </c>
      <c r="K79" s="121">
        <v>24683</v>
      </c>
      <c r="L79" s="119">
        <v>2039</v>
      </c>
      <c r="M79" s="121">
        <v>1112914</v>
      </c>
      <c r="N79" s="14" t="s">
        <v>88</v>
      </c>
    </row>
    <row r="80" spans="1:14" s="17" customFormat="1" ht="15.75" customHeight="1">
      <c r="A80" s="13" t="s">
        <v>89</v>
      </c>
      <c r="B80" s="119">
        <f>_xlfn.COMPOUNDVALUE(269)</f>
        <v>429</v>
      </c>
      <c r="C80" s="120">
        <v>226792</v>
      </c>
      <c r="D80" s="119">
        <f>_xlfn.COMPOUNDVALUE(270)</f>
        <v>394</v>
      </c>
      <c r="E80" s="120">
        <v>161890</v>
      </c>
      <c r="F80" s="119">
        <f>_xlfn.COMPOUNDVALUE(271)</f>
        <v>823</v>
      </c>
      <c r="G80" s="120">
        <v>388682</v>
      </c>
      <c r="H80" s="119">
        <f>_xlfn.COMPOUNDVALUE(272)</f>
        <v>29</v>
      </c>
      <c r="I80" s="121">
        <v>17548</v>
      </c>
      <c r="J80" s="119">
        <v>63</v>
      </c>
      <c r="K80" s="121">
        <v>4313</v>
      </c>
      <c r="L80" s="119">
        <v>869</v>
      </c>
      <c r="M80" s="121">
        <v>375447</v>
      </c>
      <c r="N80" s="14" t="s">
        <v>89</v>
      </c>
    </row>
    <row r="81" spans="1:14" s="17" customFormat="1" ht="15.75" customHeight="1">
      <c r="A81" s="13" t="s">
        <v>90</v>
      </c>
      <c r="B81" s="119">
        <f>_xlfn.COMPOUNDVALUE(273)</f>
        <v>397</v>
      </c>
      <c r="C81" s="120">
        <v>224075</v>
      </c>
      <c r="D81" s="119">
        <f>_xlfn.COMPOUNDVALUE(274)</f>
        <v>340</v>
      </c>
      <c r="E81" s="120">
        <v>134836</v>
      </c>
      <c r="F81" s="119">
        <f>_xlfn.COMPOUNDVALUE(275)</f>
        <v>737</v>
      </c>
      <c r="G81" s="120">
        <v>358911</v>
      </c>
      <c r="H81" s="119">
        <f>_xlfn.COMPOUNDVALUE(276)</f>
        <v>45</v>
      </c>
      <c r="I81" s="121">
        <v>53313</v>
      </c>
      <c r="J81" s="119">
        <v>68</v>
      </c>
      <c r="K81" s="121">
        <v>-2440</v>
      </c>
      <c r="L81" s="119">
        <v>797</v>
      </c>
      <c r="M81" s="121">
        <v>303159</v>
      </c>
      <c r="N81" s="14" t="s">
        <v>90</v>
      </c>
    </row>
    <row r="82" spans="1:14" s="17" customFormat="1" ht="15.75" customHeight="1">
      <c r="A82" s="13" t="s">
        <v>91</v>
      </c>
      <c r="B82" s="119">
        <f>_xlfn.COMPOUNDVALUE(277)</f>
        <v>641</v>
      </c>
      <c r="C82" s="120">
        <v>384775</v>
      </c>
      <c r="D82" s="119">
        <f>_xlfn.COMPOUNDVALUE(278)</f>
        <v>658</v>
      </c>
      <c r="E82" s="120">
        <v>267473</v>
      </c>
      <c r="F82" s="119">
        <f>_xlfn.COMPOUNDVALUE(279)</f>
        <v>1299</v>
      </c>
      <c r="G82" s="120">
        <v>652248</v>
      </c>
      <c r="H82" s="119">
        <f>_xlfn.COMPOUNDVALUE(280)</f>
        <v>47</v>
      </c>
      <c r="I82" s="121">
        <v>31282</v>
      </c>
      <c r="J82" s="119">
        <v>133</v>
      </c>
      <c r="K82" s="121">
        <v>8058</v>
      </c>
      <c r="L82" s="119">
        <v>1367</v>
      </c>
      <c r="M82" s="121">
        <v>629024</v>
      </c>
      <c r="N82" s="14" t="s">
        <v>91</v>
      </c>
    </row>
    <row r="83" spans="1:14" s="17" customFormat="1" ht="15.75" customHeight="1">
      <c r="A83" s="13" t="s">
        <v>92</v>
      </c>
      <c r="B83" s="119">
        <f>_xlfn.COMPOUNDVALUE(281)</f>
        <v>281</v>
      </c>
      <c r="C83" s="120">
        <v>163797</v>
      </c>
      <c r="D83" s="119">
        <f>_xlfn.COMPOUNDVALUE(282)</f>
        <v>269</v>
      </c>
      <c r="E83" s="120">
        <v>104984</v>
      </c>
      <c r="F83" s="119">
        <f>_xlfn.COMPOUNDVALUE(283)</f>
        <v>550</v>
      </c>
      <c r="G83" s="120">
        <v>268781</v>
      </c>
      <c r="H83" s="119">
        <f>_xlfn.COMPOUNDVALUE(284)</f>
        <v>17</v>
      </c>
      <c r="I83" s="121">
        <v>13024</v>
      </c>
      <c r="J83" s="119">
        <v>48</v>
      </c>
      <c r="K83" s="121">
        <v>2322</v>
      </c>
      <c r="L83" s="119">
        <v>576</v>
      </c>
      <c r="M83" s="121">
        <v>258079</v>
      </c>
      <c r="N83" s="14" t="s">
        <v>92</v>
      </c>
    </row>
    <row r="84" spans="1:14" s="17" customFormat="1" ht="15.75" customHeight="1">
      <c r="A84" s="13" t="s">
        <v>93</v>
      </c>
      <c r="B84" s="119">
        <f>_xlfn.COMPOUNDVALUE(285)</f>
        <v>504</v>
      </c>
      <c r="C84" s="120">
        <v>329792</v>
      </c>
      <c r="D84" s="119">
        <f>_xlfn.COMPOUNDVALUE(286)</f>
        <v>554</v>
      </c>
      <c r="E84" s="120">
        <v>205085</v>
      </c>
      <c r="F84" s="119">
        <f>_xlfn.COMPOUNDVALUE(287)</f>
        <v>1058</v>
      </c>
      <c r="G84" s="120">
        <v>534877</v>
      </c>
      <c r="H84" s="119">
        <f>_xlfn.COMPOUNDVALUE(288)</f>
        <v>28</v>
      </c>
      <c r="I84" s="121">
        <v>14547</v>
      </c>
      <c r="J84" s="119">
        <v>97</v>
      </c>
      <c r="K84" s="121">
        <v>11546</v>
      </c>
      <c r="L84" s="119">
        <v>1092</v>
      </c>
      <c r="M84" s="121">
        <v>531876</v>
      </c>
      <c r="N84" s="14" t="s">
        <v>93</v>
      </c>
    </row>
    <row r="85" spans="1:14" s="17" customFormat="1" ht="15.75" customHeight="1">
      <c r="A85" s="15" t="s">
        <v>94</v>
      </c>
      <c r="B85" s="124">
        <v>23786</v>
      </c>
      <c r="C85" s="125">
        <v>14458202</v>
      </c>
      <c r="D85" s="124">
        <v>23452</v>
      </c>
      <c r="E85" s="125">
        <v>10151901</v>
      </c>
      <c r="F85" s="124">
        <v>47238</v>
      </c>
      <c r="G85" s="125">
        <v>24610103</v>
      </c>
      <c r="H85" s="124">
        <v>2199</v>
      </c>
      <c r="I85" s="126">
        <v>2112642</v>
      </c>
      <c r="J85" s="124">
        <v>3836</v>
      </c>
      <c r="K85" s="126">
        <v>719825</v>
      </c>
      <c r="L85" s="124">
        <v>50898</v>
      </c>
      <c r="M85" s="126">
        <v>23217286</v>
      </c>
      <c r="N85" s="16" t="s">
        <v>126</v>
      </c>
    </row>
    <row r="86" spans="1:14" s="20" customFormat="1" ht="15.75" customHeight="1">
      <c r="A86" s="23"/>
      <c r="B86" s="129"/>
      <c r="C86" s="130"/>
      <c r="D86" s="129"/>
      <c r="E86" s="130"/>
      <c r="F86" s="131"/>
      <c r="G86" s="130"/>
      <c r="H86" s="131"/>
      <c r="I86" s="130"/>
      <c r="J86" s="131"/>
      <c r="K86" s="130"/>
      <c r="L86" s="131"/>
      <c r="M86" s="130"/>
      <c r="N86" s="24"/>
    </row>
    <row r="87" spans="1:14" ht="15.75" customHeight="1">
      <c r="A87" s="13" t="s">
        <v>95</v>
      </c>
      <c r="B87" s="119">
        <f>_xlfn.COMPOUNDVALUE(289)</f>
        <v>2918</v>
      </c>
      <c r="C87" s="120">
        <v>1654830</v>
      </c>
      <c r="D87" s="119">
        <f>_xlfn.COMPOUNDVALUE(290)</f>
        <v>2628</v>
      </c>
      <c r="E87" s="120">
        <v>1151529</v>
      </c>
      <c r="F87" s="119">
        <f>_xlfn.COMPOUNDVALUE(291)</f>
        <v>5546</v>
      </c>
      <c r="G87" s="120">
        <v>2806359</v>
      </c>
      <c r="H87" s="119">
        <f>_xlfn.COMPOUNDVALUE(292)</f>
        <v>241</v>
      </c>
      <c r="I87" s="121">
        <v>162643</v>
      </c>
      <c r="J87" s="119">
        <v>410</v>
      </c>
      <c r="K87" s="121">
        <v>59573</v>
      </c>
      <c r="L87" s="119">
        <v>5932</v>
      </c>
      <c r="M87" s="121">
        <v>2703289</v>
      </c>
      <c r="N87" s="14" t="s">
        <v>95</v>
      </c>
    </row>
    <row r="88" spans="1:14" ht="15.75" customHeight="1">
      <c r="A88" s="13" t="s">
        <v>96</v>
      </c>
      <c r="B88" s="119">
        <f>_xlfn.COMPOUNDVALUE(293)</f>
        <v>2630</v>
      </c>
      <c r="C88" s="120">
        <v>1410316</v>
      </c>
      <c r="D88" s="119">
        <f>_xlfn.COMPOUNDVALUE(294)</f>
        <v>2093</v>
      </c>
      <c r="E88" s="120">
        <v>830105</v>
      </c>
      <c r="F88" s="119">
        <f>_xlfn.COMPOUNDVALUE(295)</f>
        <v>4723</v>
      </c>
      <c r="G88" s="120">
        <v>2240421</v>
      </c>
      <c r="H88" s="119">
        <f>_xlfn.COMPOUNDVALUE(296)</f>
        <v>151</v>
      </c>
      <c r="I88" s="121">
        <v>149463</v>
      </c>
      <c r="J88" s="119">
        <v>267</v>
      </c>
      <c r="K88" s="121">
        <v>89556</v>
      </c>
      <c r="L88" s="119">
        <v>4965</v>
      </c>
      <c r="M88" s="121">
        <v>2180514</v>
      </c>
      <c r="N88" s="14" t="s">
        <v>96</v>
      </c>
    </row>
    <row r="89" spans="1:14" ht="15.75" customHeight="1">
      <c r="A89" s="13" t="s">
        <v>97</v>
      </c>
      <c r="B89" s="119">
        <f>_xlfn.COMPOUNDVALUE(297)</f>
        <v>1014</v>
      </c>
      <c r="C89" s="120">
        <v>528016</v>
      </c>
      <c r="D89" s="119">
        <f>_xlfn.COMPOUNDVALUE(298)</f>
        <v>619</v>
      </c>
      <c r="E89" s="120">
        <v>216082</v>
      </c>
      <c r="F89" s="119">
        <f>_xlfn.COMPOUNDVALUE(299)</f>
        <v>1633</v>
      </c>
      <c r="G89" s="120">
        <v>744098</v>
      </c>
      <c r="H89" s="119">
        <f>_xlfn.COMPOUNDVALUE(300)</f>
        <v>59</v>
      </c>
      <c r="I89" s="121">
        <v>42179</v>
      </c>
      <c r="J89" s="119">
        <v>145</v>
      </c>
      <c r="K89" s="121">
        <v>24612</v>
      </c>
      <c r="L89" s="119">
        <v>1720</v>
      </c>
      <c r="M89" s="121">
        <v>726531</v>
      </c>
      <c r="N89" s="14" t="s">
        <v>97</v>
      </c>
    </row>
    <row r="90" spans="1:14" ht="15.75" customHeight="1">
      <c r="A90" s="13" t="s">
        <v>98</v>
      </c>
      <c r="B90" s="119">
        <f>_xlfn.COMPOUNDVALUE(301)</f>
        <v>332</v>
      </c>
      <c r="C90" s="120">
        <v>196795</v>
      </c>
      <c r="D90" s="119">
        <f>_xlfn.COMPOUNDVALUE(302)</f>
        <v>436</v>
      </c>
      <c r="E90" s="120">
        <v>159081</v>
      </c>
      <c r="F90" s="119">
        <f>_xlfn.COMPOUNDVALUE(303)</f>
        <v>768</v>
      </c>
      <c r="G90" s="120">
        <v>355877</v>
      </c>
      <c r="H90" s="119">
        <f>_xlfn.COMPOUNDVALUE(304)</f>
        <v>10</v>
      </c>
      <c r="I90" s="121">
        <v>2845</v>
      </c>
      <c r="J90" s="119">
        <v>56</v>
      </c>
      <c r="K90" s="121">
        <v>4808</v>
      </c>
      <c r="L90" s="119">
        <v>787</v>
      </c>
      <c r="M90" s="121">
        <v>357839</v>
      </c>
      <c r="N90" s="14" t="s">
        <v>98</v>
      </c>
    </row>
    <row r="91" spans="1:14" s="17" customFormat="1" ht="15.75" customHeight="1">
      <c r="A91" s="15" t="s">
        <v>99</v>
      </c>
      <c r="B91" s="124">
        <v>6894</v>
      </c>
      <c r="C91" s="125">
        <v>3789957</v>
      </c>
      <c r="D91" s="124">
        <v>5776</v>
      </c>
      <c r="E91" s="125">
        <v>2356797</v>
      </c>
      <c r="F91" s="124">
        <v>12670</v>
      </c>
      <c r="G91" s="125">
        <v>6146754</v>
      </c>
      <c r="H91" s="124">
        <v>461</v>
      </c>
      <c r="I91" s="126">
        <v>357130</v>
      </c>
      <c r="J91" s="124">
        <v>878</v>
      </c>
      <c r="K91" s="126">
        <v>178549</v>
      </c>
      <c r="L91" s="124">
        <v>13404</v>
      </c>
      <c r="M91" s="126">
        <v>5968173</v>
      </c>
      <c r="N91" s="16" t="s">
        <v>127</v>
      </c>
    </row>
    <row r="92" spans="1:14" s="17" customFormat="1" ht="15.75" customHeight="1">
      <c r="A92" s="23"/>
      <c r="B92" s="129"/>
      <c r="C92" s="130"/>
      <c r="D92" s="129"/>
      <c r="E92" s="130"/>
      <c r="F92" s="131"/>
      <c r="G92" s="130"/>
      <c r="H92" s="131"/>
      <c r="I92" s="130"/>
      <c r="J92" s="131"/>
      <c r="K92" s="130"/>
      <c r="L92" s="131"/>
      <c r="M92" s="130"/>
      <c r="N92" s="24"/>
    </row>
    <row r="93" spans="1:14" s="17" customFormat="1" ht="15.75" customHeight="1">
      <c r="A93" s="11" t="s">
        <v>100</v>
      </c>
      <c r="B93" s="114">
        <f>_xlfn.COMPOUNDVALUE(305)</f>
        <v>2046</v>
      </c>
      <c r="C93" s="115">
        <v>1215103</v>
      </c>
      <c r="D93" s="114">
        <f>_xlfn.COMPOUNDVALUE(306)</f>
        <v>1812</v>
      </c>
      <c r="E93" s="115">
        <v>772146</v>
      </c>
      <c r="F93" s="114">
        <f>_xlfn.COMPOUNDVALUE(307)</f>
        <v>3858</v>
      </c>
      <c r="G93" s="115">
        <v>1987249</v>
      </c>
      <c r="H93" s="114">
        <f>_xlfn.COMPOUNDVALUE(308)</f>
        <v>117</v>
      </c>
      <c r="I93" s="116">
        <v>61464</v>
      </c>
      <c r="J93" s="114">
        <v>305</v>
      </c>
      <c r="K93" s="116">
        <v>46676</v>
      </c>
      <c r="L93" s="114">
        <v>4110</v>
      </c>
      <c r="M93" s="116">
        <v>1972462</v>
      </c>
      <c r="N93" s="25" t="s">
        <v>100</v>
      </c>
    </row>
    <row r="94" spans="1:14" s="17" customFormat="1" ht="15.75" customHeight="1">
      <c r="A94" s="13" t="s">
        <v>101</v>
      </c>
      <c r="B94" s="119">
        <f>_xlfn.COMPOUNDVALUE(309)</f>
        <v>432</v>
      </c>
      <c r="C94" s="120">
        <v>287541</v>
      </c>
      <c r="D94" s="119">
        <f>_xlfn.COMPOUNDVALUE(310)</f>
        <v>460</v>
      </c>
      <c r="E94" s="120">
        <v>157787</v>
      </c>
      <c r="F94" s="119">
        <f>_xlfn.COMPOUNDVALUE(311)</f>
        <v>892</v>
      </c>
      <c r="G94" s="120">
        <v>445328</v>
      </c>
      <c r="H94" s="119">
        <f>_xlfn.COMPOUNDVALUE(312)</f>
        <v>12</v>
      </c>
      <c r="I94" s="121">
        <v>9792</v>
      </c>
      <c r="J94" s="119">
        <v>84</v>
      </c>
      <c r="K94" s="121">
        <v>13334</v>
      </c>
      <c r="L94" s="119">
        <v>930</v>
      </c>
      <c r="M94" s="121">
        <v>448870</v>
      </c>
      <c r="N94" s="14" t="s">
        <v>101</v>
      </c>
    </row>
    <row r="95" spans="1:14" s="17" customFormat="1" ht="15.75" customHeight="1">
      <c r="A95" s="13" t="s">
        <v>102</v>
      </c>
      <c r="B95" s="119">
        <f>_xlfn.COMPOUNDVALUE(313)</f>
        <v>565</v>
      </c>
      <c r="C95" s="120">
        <v>363680</v>
      </c>
      <c r="D95" s="119">
        <f>_xlfn.COMPOUNDVALUE(314)</f>
        <v>1016</v>
      </c>
      <c r="E95" s="120">
        <v>338393</v>
      </c>
      <c r="F95" s="119">
        <f>_xlfn.COMPOUNDVALUE(315)</f>
        <v>1581</v>
      </c>
      <c r="G95" s="120">
        <v>702073</v>
      </c>
      <c r="H95" s="119">
        <f>_xlfn.COMPOUNDVALUE(316)</f>
        <v>30</v>
      </c>
      <c r="I95" s="121">
        <v>15747</v>
      </c>
      <c r="J95" s="119">
        <v>110</v>
      </c>
      <c r="K95" s="121">
        <v>12017</v>
      </c>
      <c r="L95" s="119">
        <v>1642</v>
      </c>
      <c r="M95" s="121">
        <v>698342</v>
      </c>
      <c r="N95" s="14" t="s">
        <v>102</v>
      </c>
    </row>
    <row r="96" spans="1:14" s="17" customFormat="1" ht="15.75" customHeight="1">
      <c r="A96" s="13" t="s">
        <v>103</v>
      </c>
      <c r="B96" s="119">
        <f>_xlfn.COMPOUNDVALUE(317)</f>
        <v>854</v>
      </c>
      <c r="C96" s="120">
        <v>562629</v>
      </c>
      <c r="D96" s="119">
        <f>_xlfn.COMPOUNDVALUE(318)</f>
        <v>1083</v>
      </c>
      <c r="E96" s="120">
        <v>388094</v>
      </c>
      <c r="F96" s="119">
        <f>_xlfn.COMPOUNDVALUE(319)</f>
        <v>1937</v>
      </c>
      <c r="G96" s="120">
        <v>950723</v>
      </c>
      <c r="H96" s="119">
        <f>_xlfn.COMPOUNDVALUE(320)</f>
        <v>28</v>
      </c>
      <c r="I96" s="121">
        <v>13105</v>
      </c>
      <c r="J96" s="119">
        <v>118</v>
      </c>
      <c r="K96" s="121">
        <v>18519</v>
      </c>
      <c r="L96" s="119">
        <v>1992</v>
      </c>
      <c r="M96" s="121">
        <v>956136</v>
      </c>
      <c r="N96" s="14" t="s">
        <v>103</v>
      </c>
    </row>
    <row r="97" spans="1:14" s="17" customFormat="1" ht="15.75" customHeight="1">
      <c r="A97" s="13" t="s">
        <v>104</v>
      </c>
      <c r="B97" s="119">
        <f>_xlfn.COMPOUNDVALUE(321)</f>
        <v>609</v>
      </c>
      <c r="C97" s="120">
        <v>367727</v>
      </c>
      <c r="D97" s="119">
        <f>_xlfn.COMPOUNDVALUE(322)</f>
        <v>545</v>
      </c>
      <c r="E97" s="120">
        <v>186786</v>
      </c>
      <c r="F97" s="119">
        <f>_xlfn.COMPOUNDVALUE(323)</f>
        <v>1154</v>
      </c>
      <c r="G97" s="120">
        <v>554513</v>
      </c>
      <c r="H97" s="119">
        <f>_xlfn.COMPOUNDVALUE(324)</f>
        <v>21</v>
      </c>
      <c r="I97" s="121">
        <v>16527</v>
      </c>
      <c r="J97" s="119">
        <v>70</v>
      </c>
      <c r="K97" s="121">
        <v>14087</v>
      </c>
      <c r="L97" s="119">
        <v>1189</v>
      </c>
      <c r="M97" s="121">
        <v>552073</v>
      </c>
      <c r="N97" s="14" t="s">
        <v>104</v>
      </c>
    </row>
    <row r="98" spans="1:14" s="17" customFormat="1" ht="15.75" customHeight="1">
      <c r="A98" s="13" t="s">
        <v>105</v>
      </c>
      <c r="B98" s="119">
        <f>_xlfn.COMPOUNDVALUE(325)</f>
        <v>1071</v>
      </c>
      <c r="C98" s="120">
        <v>580774</v>
      </c>
      <c r="D98" s="119">
        <f>_xlfn.COMPOUNDVALUE(326)</f>
        <v>1017</v>
      </c>
      <c r="E98" s="120">
        <v>370070</v>
      </c>
      <c r="F98" s="119">
        <f>_xlfn.COMPOUNDVALUE(327)</f>
        <v>2088</v>
      </c>
      <c r="G98" s="120">
        <v>950844</v>
      </c>
      <c r="H98" s="119">
        <f>_xlfn.COMPOUNDVALUE(328)</f>
        <v>45</v>
      </c>
      <c r="I98" s="121">
        <v>39069</v>
      </c>
      <c r="J98" s="119">
        <v>164</v>
      </c>
      <c r="K98" s="121">
        <v>17649</v>
      </c>
      <c r="L98" s="119">
        <v>2199</v>
      </c>
      <c r="M98" s="121">
        <v>929423</v>
      </c>
      <c r="N98" s="14" t="s">
        <v>105</v>
      </c>
    </row>
    <row r="99" spans="1:14" s="17" customFormat="1" ht="15.75" customHeight="1">
      <c r="A99" s="13" t="s">
        <v>106</v>
      </c>
      <c r="B99" s="119">
        <f>_xlfn.COMPOUNDVALUE(329)</f>
        <v>609</v>
      </c>
      <c r="C99" s="120">
        <v>400118</v>
      </c>
      <c r="D99" s="119">
        <f>_xlfn.COMPOUNDVALUE(330)</f>
        <v>1169</v>
      </c>
      <c r="E99" s="120">
        <v>368287</v>
      </c>
      <c r="F99" s="119">
        <f>_xlfn.COMPOUNDVALUE(331)</f>
        <v>1778</v>
      </c>
      <c r="G99" s="120">
        <v>768405</v>
      </c>
      <c r="H99" s="119">
        <f>_xlfn.COMPOUNDVALUE(332)</f>
        <v>39</v>
      </c>
      <c r="I99" s="121">
        <v>25006</v>
      </c>
      <c r="J99" s="119">
        <v>105</v>
      </c>
      <c r="K99" s="121">
        <v>19109</v>
      </c>
      <c r="L99" s="119">
        <v>1856</v>
      </c>
      <c r="M99" s="121">
        <v>762509</v>
      </c>
      <c r="N99" s="14" t="s">
        <v>106</v>
      </c>
    </row>
    <row r="100" spans="1:14" s="17" customFormat="1" ht="15.75" customHeight="1">
      <c r="A100" s="15" t="s">
        <v>107</v>
      </c>
      <c r="B100" s="124">
        <v>6186</v>
      </c>
      <c r="C100" s="125">
        <v>3777571</v>
      </c>
      <c r="D100" s="124">
        <v>7102</v>
      </c>
      <c r="E100" s="125">
        <v>2581563</v>
      </c>
      <c r="F100" s="124">
        <v>13288</v>
      </c>
      <c r="G100" s="125">
        <v>6359134</v>
      </c>
      <c r="H100" s="124">
        <v>292</v>
      </c>
      <c r="I100" s="126">
        <v>180711</v>
      </c>
      <c r="J100" s="124">
        <v>956</v>
      </c>
      <c r="K100" s="126">
        <v>141391</v>
      </c>
      <c r="L100" s="124">
        <v>13918</v>
      </c>
      <c r="M100" s="126">
        <v>6319815</v>
      </c>
      <c r="N100" s="16" t="s">
        <v>128</v>
      </c>
    </row>
    <row r="101" spans="1:14" s="17" customFormat="1" ht="15.75" customHeight="1" thickBot="1">
      <c r="A101" s="18"/>
      <c r="B101" s="144"/>
      <c r="C101" s="145"/>
      <c r="D101" s="144"/>
      <c r="E101" s="145"/>
      <c r="F101" s="146"/>
      <c r="G101" s="145"/>
      <c r="H101" s="146"/>
      <c r="I101" s="145"/>
      <c r="J101" s="146"/>
      <c r="K101" s="145"/>
      <c r="L101" s="146"/>
      <c r="M101" s="145"/>
      <c r="N101" s="19"/>
    </row>
    <row r="102" spans="1:14" s="17" customFormat="1" ht="15.75" customHeight="1" thickBot="1" thickTop="1">
      <c r="A102" s="21" t="s">
        <v>18</v>
      </c>
      <c r="B102" s="147">
        <v>100549</v>
      </c>
      <c r="C102" s="148">
        <v>60020600</v>
      </c>
      <c r="D102" s="147">
        <v>93921</v>
      </c>
      <c r="E102" s="148">
        <v>40379118</v>
      </c>
      <c r="F102" s="147">
        <v>194470</v>
      </c>
      <c r="G102" s="148">
        <v>100399718</v>
      </c>
      <c r="H102" s="147">
        <v>7550</v>
      </c>
      <c r="I102" s="149">
        <v>6179978</v>
      </c>
      <c r="J102" s="147">
        <v>14988</v>
      </c>
      <c r="K102" s="149">
        <v>3008350</v>
      </c>
      <c r="L102" s="147">
        <v>208115</v>
      </c>
      <c r="M102" s="149">
        <v>97228090</v>
      </c>
      <c r="N102" s="22" t="s">
        <v>121</v>
      </c>
    </row>
    <row r="103" spans="1:14" ht="13.5">
      <c r="A103" s="193" t="s">
        <v>177</v>
      </c>
      <c r="B103" s="193"/>
      <c r="C103" s="193"/>
      <c r="D103" s="193"/>
      <c r="E103" s="193"/>
      <c r="F103" s="193"/>
      <c r="G103" s="193"/>
      <c r="H103" s="193"/>
      <c r="I103" s="193"/>
      <c r="J103" s="27"/>
      <c r="K103" s="27"/>
      <c r="L103" s="2"/>
      <c r="M103" s="2"/>
      <c r="N103" s="2"/>
    </row>
    <row r="104" spans="2:13" ht="13.5">
      <c r="B104" s="42"/>
      <c r="C104" s="42"/>
      <c r="D104" s="42"/>
      <c r="E104" s="42"/>
      <c r="F104" s="42"/>
      <c r="G104" s="42"/>
      <c r="H104" s="42"/>
      <c r="I104" s="42"/>
      <c r="J104" s="42"/>
      <c r="K104" s="42"/>
      <c r="L104" s="42"/>
      <c r="M104" s="42"/>
    </row>
    <row r="105" spans="2:10" ht="13.5">
      <c r="B105" s="28"/>
      <c r="C105" s="28"/>
      <c r="D105" s="28"/>
      <c r="E105" s="28"/>
      <c r="F105" s="28"/>
      <c r="G105" s="28"/>
      <c r="H105" s="28"/>
      <c r="J105" s="28"/>
    </row>
    <row r="106" spans="2:10" ht="13.5">
      <c r="B106" s="28"/>
      <c r="C106" s="28"/>
      <c r="D106" s="28"/>
      <c r="E106" s="28"/>
      <c r="F106" s="28"/>
      <c r="G106" s="28"/>
      <c r="H106" s="28"/>
      <c r="J106" s="28"/>
    </row>
    <row r="107" spans="2:10" ht="13.5">
      <c r="B107" s="28"/>
      <c r="C107" s="28"/>
      <c r="D107" s="28"/>
      <c r="E107" s="28"/>
      <c r="F107" s="28"/>
      <c r="G107" s="28"/>
      <c r="H107" s="28"/>
      <c r="J107" s="28"/>
    </row>
    <row r="108" spans="2:10" ht="13.5">
      <c r="B108" s="28"/>
      <c r="C108" s="28"/>
      <c r="D108" s="28"/>
      <c r="E108" s="28"/>
      <c r="F108" s="28"/>
      <c r="G108" s="28"/>
      <c r="H108" s="28"/>
      <c r="J108" s="28"/>
    </row>
    <row r="109" spans="2:10" ht="13.5">
      <c r="B109" s="28"/>
      <c r="C109" s="28"/>
      <c r="D109" s="28"/>
      <c r="E109" s="28"/>
      <c r="F109" s="28"/>
      <c r="G109" s="28"/>
      <c r="H109" s="28"/>
      <c r="J109" s="28"/>
    </row>
    <row r="110" spans="2:10" ht="13.5">
      <c r="B110" s="28"/>
      <c r="C110" s="28"/>
      <c r="D110" s="28"/>
      <c r="E110" s="28"/>
      <c r="F110" s="28"/>
      <c r="G110" s="28"/>
      <c r="H110" s="28"/>
      <c r="J110" s="28"/>
    </row>
    <row r="111" spans="2:10" ht="13.5">
      <c r="B111" s="28"/>
      <c r="C111" s="28"/>
      <c r="D111" s="28"/>
      <c r="E111" s="28"/>
      <c r="F111" s="28"/>
      <c r="G111" s="28"/>
      <c r="H111" s="28"/>
      <c r="J111" s="28"/>
    </row>
    <row r="112" spans="2:10" ht="13.5">
      <c r="B112" s="28"/>
      <c r="C112" s="28"/>
      <c r="D112" s="28"/>
      <c r="E112" s="28"/>
      <c r="F112" s="28"/>
      <c r="G112" s="28"/>
      <c r="H112" s="28"/>
      <c r="J112" s="28"/>
    </row>
    <row r="113" spans="2:10" ht="13.5">
      <c r="B113" s="28"/>
      <c r="C113" s="28"/>
      <c r="D113" s="28"/>
      <c r="E113" s="28"/>
      <c r="F113" s="28"/>
      <c r="G113" s="28"/>
      <c r="H113" s="28"/>
      <c r="J113" s="28"/>
    </row>
    <row r="114" spans="2:10" ht="13.5">
      <c r="B114" s="28"/>
      <c r="C114" s="28"/>
      <c r="D114" s="28"/>
      <c r="E114" s="28"/>
      <c r="F114" s="28"/>
      <c r="G114" s="28"/>
      <c r="H114" s="28"/>
      <c r="J114" s="28"/>
    </row>
    <row r="115" spans="2:10" ht="13.5">
      <c r="B115" s="28"/>
      <c r="C115" s="28"/>
      <c r="D115" s="28"/>
      <c r="E115" s="28"/>
      <c r="F115" s="28"/>
      <c r="G115" s="28"/>
      <c r="H115" s="28"/>
      <c r="J115" s="28"/>
    </row>
    <row r="116" spans="2:10" ht="13.5">
      <c r="B116" s="28"/>
      <c r="C116" s="28"/>
      <c r="D116" s="28"/>
      <c r="E116" s="28"/>
      <c r="F116" s="28"/>
      <c r="G116" s="28"/>
      <c r="H116" s="28"/>
      <c r="J116" s="28"/>
    </row>
    <row r="117" spans="2:10" ht="13.5">
      <c r="B117" s="28"/>
      <c r="C117" s="28"/>
      <c r="D117" s="28"/>
      <c r="E117" s="28"/>
      <c r="F117" s="28"/>
      <c r="G117" s="28"/>
      <c r="H117" s="28"/>
      <c r="J117" s="28"/>
    </row>
  </sheetData>
  <sheetProtection/>
  <mergeCells count="11">
    <mergeCell ref="N3:N5"/>
    <mergeCell ref="B4:C4"/>
    <mergeCell ref="D4:E4"/>
    <mergeCell ref="F4:G4"/>
    <mergeCell ref="J3:K4"/>
    <mergeCell ref="L3:M4"/>
    <mergeCell ref="A103:I103"/>
    <mergeCell ref="A2:G2"/>
    <mergeCell ref="A3:A5"/>
    <mergeCell ref="B3:G3"/>
    <mergeCell ref="H3:I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81" r:id="rId1"/>
  <headerFooter alignWithMargins="0">
    <oddFooter>&amp;R大阪国税局
消費税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3"/>
  <sheetViews>
    <sheetView view="pageBreakPreview" zoomScale="85" zoomScaleSheetLayoutView="85" zoomScalePageLayoutView="0"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108</v>
      </c>
      <c r="B1" s="1"/>
      <c r="C1" s="1"/>
      <c r="D1" s="1"/>
      <c r="E1" s="1"/>
      <c r="F1" s="1"/>
      <c r="G1" s="1"/>
      <c r="H1" s="1"/>
      <c r="I1" s="1"/>
      <c r="J1" s="1"/>
      <c r="K1" s="1"/>
      <c r="L1" s="2"/>
      <c r="M1" s="2"/>
    </row>
    <row r="2" spans="1:13" ht="14.25" thickBot="1">
      <c r="A2" s="209" t="s">
        <v>109</v>
      </c>
      <c r="B2" s="209"/>
      <c r="C2" s="209"/>
      <c r="D2" s="209"/>
      <c r="E2" s="209"/>
      <c r="F2" s="209"/>
      <c r="G2" s="209"/>
      <c r="H2" s="209"/>
      <c r="I2" s="209"/>
      <c r="J2" s="27"/>
      <c r="K2" s="27"/>
      <c r="L2" s="2"/>
      <c r="M2" s="2"/>
    </row>
    <row r="3" spans="1:14" ht="19.5" customHeight="1">
      <c r="A3" s="199" t="s">
        <v>2</v>
      </c>
      <c r="B3" s="202" t="s">
        <v>3</v>
      </c>
      <c r="C3" s="202"/>
      <c r="D3" s="202"/>
      <c r="E3" s="202"/>
      <c r="F3" s="202"/>
      <c r="G3" s="202"/>
      <c r="H3" s="195" t="s">
        <v>4</v>
      </c>
      <c r="I3" s="196"/>
      <c r="J3" s="208" t="s">
        <v>5</v>
      </c>
      <c r="K3" s="196"/>
      <c r="L3" s="195" t="s">
        <v>6</v>
      </c>
      <c r="M3" s="196"/>
      <c r="N3" s="203" t="s">
        <v>110</v>
      </c>
    </row>
    <row r="4" spans="1:14" ht="17.25" customHeight="1">
      <c r="A4" s="200"/>
      <c r="B4" s="197" t="s">
        <v>8</v>
      </c>
      <c r="C4" s="207"/>
      <c r="D4" s="197" t="s">
        <v>9</v>
      </c>
      <c r="E4" s="207"/>
      <c r="F4" s="197" t="s">
        <v>10</v>
      </c>
      <c r="G4" s="207"/>
      <c r="H4" s="197"/>
      <c r="I4" s="198"/>
      <c r="J4" s="197"/>
      <c r="K4" s="198"/>
      <c r="L4" s="197"/>
      <c r="M4" s="198"/>
      <c r="N4" s="204"/>
    </row>
    <row r="5" spans="1:14" ht="28.5" customHeight="1">
      <c r="A5" s="201"/>
      <c r="B5" s="37" t="s">
        <v>11</v>
      </c>
      <c r="C5" s="38" t="s">
        <v>12</v>
      </c>
      <c r="D5" s="37" t="s">
        <v>11</v>
      </c>
      <c r="E5" s="38" t="s">
        <v>12</v>
      </c>
      <c r="F5" s="37" t="s">
        <v>11</v>
      </c>
      <c r="G5" s="41" t="s">
        <v>13</v>
      </c>
      <c r="H5" s="37" t="s">
        <v>118</v>
      </c>
      <c r="I5" s="40" t="s">
        <v>14</v>
      </c>
      <c r="J5" s="37" t="s">
        <v>118</v>
      </c>
      <c r="K5" s="40" t="s">
        <v>15</v>
      </c>
      <c r="L5" s="37" t="s">
        <v>118</v>
      </c>
      <c r="M5" s="39" t="s">
        <v>119</v>
      </c>
      <c r="N5" s="205"/>
    </row>
    <row r="6" spans="1:14" s="29"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19</v>
      </c>
      <c r="B7" s="114">
        <f>_xlfn.COMPOUNDVALUE(333)</f>
        <v>2275</v>
      </c>
      <c r="C7" s="115">
        <v>14451626</v>
      </c>
      <c r="D7" s="114">
        <f>_xlfn.COMPOUNDVALUE(334)</f>
        <v>850</v>
      </c>
      <c r="E7" s="115">
        <v>521657</v>
      </c>
      <c r="F7" s="114">
        <f>_xlfn.COMPOUNDVALUE(335)</f>
        <v>3125</v>
      </c>
      <c r="G7" s="115">
        <v>14973282</v>
      </c>
      <c r="H7" s="114">
        <f>_xlfn.COMPOUNDVALUE(336)</f>
        <v>173</v>
      </c>
      <c r="I7" s="116">
        <v>7236024</v>
      </c>
      <c r="J7" s="114">
        <v>214</v>
      </c>
      <c r="K7" s="116">
        <v>66312</v>
      </c>
      <c r="L7" s="114">
        <v>3318</v>
      </c>
      <c r="M7" s="116">
        <v>7803571</v>
      </c>
      <c r="N7" s="12" t="s">
        <v>19</v>
      </c>
    </row>
    <row r="8" spans="1:14" ht="15.75" customHeight="1">
      <c r="A8" s="13" t="s">
        <v>20</v>
      </c>
      <c r="B8" s="119">
        <f>_xlfn.COMPOUNDVALUE(337)</f>
        <v>1283</v>
      </c>
      <c r="C8" s="120">
        <v>13021268</v>
      </c>
      <c r="D8" s="119">
        <f>_xlfn.COMPOUNDVALUE(338)</f>
        <v>408</v>
      </c>
      <c r="E8" s="120">
        <v>234621</v>
      </c>
      <c r="F8" s="119">
        <f>_xlfn.COMPOUNDVALUE(339)</f>
        <v>1691</v>
      </c>
      <c r="G8" s="120">
        <v>13255889</v>
      </c>
      <c r="H8" s="119">
        <f>_xlfn.COMPOUNDVALUE(340)</f>
        <v>126</v>
      </c>
      <c r="I8" s="121">
        <v>2913610</v>
      </c>
      <c r="J8" s="119">
        <v>75</v>
      </c>
      <c r="K8" s="121">
        <v>76153</v>
      </c>
      <c r="L8" s="119">
        <v>1830</v>
      </c>
      <c r="M8" s="121">
        <v>10418432</v>
      </c>
      <c r="N8" s="14" t="s">
        <v>20</v>
      </c>
    </row>
    <row r="9" spans="1:14" ht="15.75" customHeight="1">
      <c r="A9" s="13" t="s">
        <v>21</v>
      </c>
      <c r="B9" s="119">
        <f>_xlfn.COMPOUNDVALUE(341)</f>
        <v>1405</v>
      </c>
      <c r="C9" s="120">
        <v>8532294</v>
      </c>
      <c r="D9" s="119">
        <f>_xlfn.COMPOUNDVALUE(342)</f>
        <v>478</v>
      </c>
      <c r="E9" s="120">
        <v>266752</v>
      </c>
      <c r="F9" s="119">
        <f>_xlfn.COMPOUNDVALUE(343)</f>
        <v>1883</v>
      </c>
      <c r="G9" s="120">
        <v>8799046</v>
      </c>
      <c r="H9" s="119">
        <f>_xlfn.COMPOUNDVALUE(344)</f>
        <v>86</v>
      </c>
      <c r="I9" s="121">
        <v>305839</v>
      </c>
      <c r="J9" s="119">
        <v>62</v>
      </c>
      <c r="K9" s="121">
        <v>7700</v>
      </c>
      <c r="L9" s="119">
        <v>1974</v>
      </c>
      <c r="M9" s="121">
        <v>8500906</v>
      </c>
      <c r="N9" s="14" t="s">
        <v>21</v>
      </c>
    </row>
    <row r="10" spans="1:14" ht="15.75" customHeight="1">
      <c r="A10" s="13" t="s">
        <v>22</v>
      </c>
      <c r="B10" s="119">
        <f>_xlfn.COMPOUNDVALUE(345)</f>
        <v>1639</v>
      </c>
      <c r="C10" s="120">
        <v>9226954</v>
      </c>
      <c r="D10" s="119">
        <f>_xlfn.COMPOUNDVALUE(346)</f>
        <v>548</v>
      </c>
      <c r="E10" s="120">
        <v>326704</v>
      </c>
      <c r="F10" s="119">
        <f>_xlfn.COMPOUNDVALUE(347)</f>
        <v>2187</v>
      </c>
      <c r="G10" s="120">
        <v>9553658</v>
      </c>
      <c r="H10" s="119">
        <f>_xlfn.COMPOUNDVALUE(348)</f>
        <v>208</v>
      </c>
      <c r="I10" s="121">
        <v>1161028</v>
      </c>
      <c r="J10" s="119">
        <v>103</v>
      </c>
      <c r="K10" s="121">
        <v>-17460</v>
      </c>
      <c r="L10" s="119">
        <v>2410</v>
      </c>
      <c r="M10" s="121">
        <v>8375170</v>
      </c>
      <c r="N10" s="14" t="s">
        <v>22</v>
      </c>
    </row>
    <row r="11" spans="1:14" ht="15.75" customHeight="1">
      <c r="A11" s="13" t="s">
        <v>23</v>
      </c>
      <c r="B11" s="119">
        <f>_xlfn.COMPOUNDVALUE(349)</f>
        <v>2334</v>
      </c>
      <c r="C11" s="120">
        <v>15694722</v>
      </c>
      <c r="D11" s="119">
        <f>_xlfn.COMPOUNDVALUE(350)</f>
        <v>873</v>
      </c>
      <c r="E11" s="120">
        <v>541331</v>
      </c>
      <c r="F11" s="119">
        <f>_xlfn.COMPOUNDVALUE(351)</f>
        <v>3207</v>
      </c>
      <c r="G11" s="120">
        <v>16236053</v>
      </c>
      <c r="H11" s="119">
        <f>_xlfn.COMPOUNDVALUE(352)</f>
        <v>214</v>
      </c>
      <c r="I11" s="121">
        <v>2215741</v>
      </c>
      <c r="J11" s="119">
        <v>137</v>
      </c>
      <c r="K11" s="121">
        <v>69196</v>
      </c>
      <c r="L11" s="119">
        <v>3452</v>
      </c>
      <c r="M11" s="121">
        <v>14089508</v>
      </c>
      <c r="N11" s="14" t="s">
        <v>23</v>
      </c>
    </row>
    <row r="12" spans="1:14" ht="15.75" customHeight="1">
      <c r="A12" s="13" t="s">
        <v>24</v>
      </c>
      <c r="B12" s="119">
        <f>_xlfn.COMPOUNDVALUE(353)</f>
        <v>1173</v>
      </c>
      <c r="C12" s="120">
        <v>9859491</v>
      </c>
      <c r="D12" s="119">
        <f>_xlfn.COMPOUNDVALUE(354)</f>
        <v>344</v>
      </c>
      <c r="E12" s="120">
        <v>204392</v>
      </c>
      <c r="F12" s="119">
        <f>_xlfn.COMPOUNDVALUE(355)</f>
        <v>1517</v>
      </c>
      <c r="G12" s="120">
        <v>10063883</v>
      </c>
      <c r="H12" s="119">
        <f>_xlfn.COMPOUNDVALUE(356)</f>
        <v>86</v>
      </c>
      <c r="I12" s="121">
        <v>290097</v>
      </c>
      <c r="J12" s="119">
        <v>98</v>
      </c>
      <c r="K12" s="121">
        <v>9342</v>
      </c>
      <c r="L12" s="119">
        <v>1624</v>
      </c>
      <c r="M12" s="121">
        <v>9783127</v>
      </c>
      <c r="N12" s="14" t="s">
        <v>24</v>
      </c>
    </row>
    <row r="13" spans="1:14" ht="15.75" customHeight="1">
      <c r="A13" s="13" t="s">
        <v>25</v>
      </c>
      <c r="B13" s="119">
        <f>_xlfn.COMPOUNDVALUE(357)</f>
        <v>521</v>
      </c>
      <c r="C13" s="120">
        <v>2444627</v>
      </c>
      <c r="D13" s="119">
        <f>_xlfn.COMPOUNDVALUE(358)</f>
        <v>166</v>
      </c>
      <c r="E13" s="120">
        <v>95102</v>
      </c>
      <c r="F13" s="119">
        <f>_xlfn.COMPOUNDVALUE(359)</f>
        <v>687</v>
      </c>
      <c r="G13" s="120">
        <v>2539729</v>
      </c>
      <c r="H13" s="119">
        <f>_xlfn.COMPOUNDVALUE(360)</f>
        <v>40</v>
      </c>
      <c r="I13" s="121">
        <v>492490</v>
      </c>
      <c r="J13" s="119">
        <v>30</v>
      </c>
      <c r="K13" s="121">
        <v>1958</v>
      </c>
      <c r="L13" s="119">
        <v>730</v>
      </c>
      <c r="M13" s="121">
        <v>2049198</v>
      </c>
      <c r="N13" s="14" t="s">
        <v>25</v>
      </c>
    </row>
    <row r="14" spans="1:14" ht="15.75" customHeight="1">
      <c r="A14" s="15" t="s">
        <v>111</v>
      </c>
      <c r="B14" s="124">
        <v>10630</v>
      </c>
      <c r="C14" s="125">
        <v>73230981</v>
      </c>
      <c r="D14" s="124">
        <v>3667</v>
      </c>
      <c r="E14" s="125">
        <v>2190559</v>
      </c>
      <c r="F14" s="124">
        <v>14297</v>
      </c>
      <c r="G14" s="125">
        <v>75421540</v>
      </c>
      <c r="H14" s="124">
        <v>933</v>
      </c>
      <c r="I14" s="126">
        <v>14614830</v>
      </c>
      <c r="J14" s="124">
        <v>719</v>
      </c>
      <c r="K14" s="126">
        <v>213201</v>
      </c>
      <c r="L14" s="124">
        <v>15338</v>
      </c>
      <c r="M14" s="126">
        <v>61019911</v>
      </c>
      <c r="N14" s="16" t="s">
        <v>123</v>
      </c>
    </row>
    <row r="15" spans="1:14" ht="15.75" customHeight="1">
      <c r="A15" s="26"/>
      <c r="B15" s="129"/>
      <c r="C15" s="130"/>
      <c r="D15" s="129"/>
      <c r="E15" s="130"/>
      <c r="F15" s="131"/>
      <c r="G15" s="130"/>
      <c r="H15" s="131"/>
      <c r="I15" s="130"/>
      <c r="J15" s="131"/>
      <c r="K15" s="130"/>
      <c r="L15" s="131"/>
      <c r="M15" s="130"/>
      <c r="N15" s="24"/>
    </row>
    <row r="16" spans="1:14" ht="15.75" customHeight="1">
      <c r="A16" s="11" t="s">
        <v>27</v>
      </c>
      <c r="B16" s="114">
        <f>_xlfn.COMPOUNDVALUE(361)</f>
        <v>2236</v>
      </c>
      <c r="C16" s="115">
        <v>17283629</v>
      </c>
      <c r="D16" s="114">
        <f>_xlfn.COMPOUNDVALUE(362)</f>
        <v>1067</v>
      </c>
      <c r="E16" s="115">
        <v>537081</v>
      </c>
      <c r="F16" s="114">
        <f>_xlfn.COMPOUNDVALUE(363)</f>
        <v>3303</v>
      </c>
      <c r="G16" s="115">
        <v>17820709</v>
      </c>
      <c r="H16" s="114">
        <f>_xlfn.COMPOUNDVALUE(364)</f>
        <v>201</v>
      </c>
      <c r="I16" s="116">
        <v>7340035</v>
      </c>
      <c r="J16" s="114">
        <v>92</v>
      </c>
      <c r="K16" s="116">
        <v>4750</v>
      </c>
      <c r="L16" s="114">
        <v>3514</v>
      </c>
      <c r="M16" s="116">
        <v>10485425</v>
      </c>
      <c r="N16" s="25" t="s">
        <v>27</v>
      </c>
    </row>
    <row r="17" spans="1:14" ht="15.75" customHeight="1">
      <c r="A17" s="11" t="s">
        <v>28</v>
      </c>
      <c r="B17" s="114">
        <f>_xlfn.COMPOUNDVALUE(365)</f>
        <v>1591</v>
      </c>
      <c r="C17" s="115">
        <v>7920698</v>
      </c>
      <c r="D17" s="114">
        <f>_xlfn.COMPOUNDVALUE(366)</f>
        <v>657</v>
      </c>
      <c r="E17" s="115">
        <v>366582</v>
      </c>
      <c r="F17" s="114">
        <f>_xlfn.COMPOUNDVALUE(367)</f>
        <v>2248</v>
      </c>
      <c r="G17" s="115">
        <v>8287280</v>
      </c>
      <c r="H17" s="114">
        <f>_xlfn.COMPOUNDVALUE(368)</f>
        <v>163</v>
      </c>
      <c r="I17" s="116">
        <v>810333</v>
      </c>
      <c r="J17" s="114">
        <v>112</v>
      </c>
      <c r="K17" s="116">
        <v>-300513</v>
      </c>
      <c r="L17" s="114">
        <v>2419</v>
      </c>
      <c r="M17" s="116">
        <v>7176433</v>
      </c>
      <c r="N17" s="12" t="s">
        <v>28</v>
      </c>
    </row>
    <row r="18" spans="1:14" ht="15.75" customHeight="1">
      <c r="A18" s="11" t="s">
        <v>29</v>
      </c>
      <c r="B18" s="114">
        <f>_xlfn.COMPOUNDVALUE(369)</f>
        <v>2880</v>
      </c>
      <c r="C18" s="115">
        <v>26157388</v>
      </c>
      <c r="D18" s="114">
        <f>_xlfn.COMPOUNDVALUE(370)</f>
        <v>1038</v>
      </c>
      <c r="E18" s="115">
        <v>637083</v>
      </c>
      <c r="F18" s="114">
        <f>_xlfn.COMPOUNDVALUE(371)</f>
        <v>3918</v>
      </c>
      <c r="G18" s="115">
        <v>26794470</v>
      </c>
      <c r="H18" s="114">
        <f>_xlfn.COMPOUNDVALUE(372)</f>
        <v>282</v>
      </c>
      <c r="I18" s="116">
        <v>7382503</v>
      </c>
      <c r="J18" s="114">
        <v>207</v>
      </c>
      <c r="K18" s="116">
        <v>24929</v>
      </c>
      <c r="L18" s="114">
        <v>4235</v>
      </c>
      <c r="M18" s="116">
        <v>19436896</v>
      </c>
      <c r="N18" s="12" t="s">
        <v>29</v>
      </c>
    </row>
    <row r="19" spans="1:14" ht="15.75" customHeight="1">
      <c r="A19" s="11" t="s">
        <v>30</v>
      </c>
      <c r="B19" s="114">
        <f>_xlfn.COMPOUNDVALUE(373)</f>
        <v>2001</v>
      </c>
      <c r="C19" s="115">
        <v>11832105</v>
      </c>
      <c r="D19" s="114">
        <f>_xlfn.COMPOUNDVALUE(374)</f>
        <v>768</v>
      </c>
      <c r="E19" s="115">
        <v>442874</v>
      </c>
      <c r="F19" s="114">
        <f>_xlfn.COMPOUNDVALUE(375)</f>
        <v>2769</v>
      </c>
      <c r="G19" s="115">
        <v>12274979</v>
      </c>
      <c r="H19" s="114">
        <f>_xlfn.COMPOUNDVALUE(376)</f>
        <v>159</v>
      </c>
      <c r="I19" s="116">
        <v>375664</v>
      </c>
      <c r="J19" s="114">
        <v>132</v>
      </c>
      <c r="K19" s="116">
        <v>-14040</v>
      </c>
      <c r="L19" s="114">
        <v>2939</v>
      </c>
      <c r="M19" s="116">
        <v>11885275</v>
      </c>
      <c r="N19" s="12" t="s">
        <v>30</v>
      </c>
    </row>
    <row r="20" spans="1:14" ht="15.75" customHeight="1">
      <c r="A20" s="11" t="s">
        <v>31</v>
      </c>
      <c r="B20" s="114">
        <f>_xlfn.COMPOUNDVALUE(377)</f>
        <v>4561</v>
      </c>
      <c r="C20" s="115">
        <v>75740919</v>
      </c>
      <c r="D20" s="114">
        <f>_xlfn.COMPOUNDVALUE(378)</f>
        <v>1229</v>
      </c>
      <c r="E20" s="115">
        <v>728966</v>
      </c>
      <c r="F20" s="114">
        <f>_xlfn.COMPOUNDVALUE(379)</f>
        <v>5790</v>
      </c>
      <c r="G20" s="115">
        <v>76469885</v>
      </c>
      <c r="H20" s="114">
        <f>_xlfn.COMPOUNDVALUE(380)</f>
        <v>433</v>
      </c>
      <c r="I20" s="116">
        <v>9895866</v>
      </c>
      <c r="J20" s="114">
        <v>452</v>
      </c>
      <c r="K20" s="116">
        <v>36609</v>
      </c>
      <c r="L20" s="114">
        <v>6253</v>
      </c>
      <c r="M20" s="116">
        <v>66610627</v>
      </c>
      <c r="N20" s="12" t="s">
        <v>31</v>
      </c>
    </row>
    <row r="21" spans="1:14" ht="15.75" customHeight="1">
      <c r="A21" s="11" t="s">
        <v>32</v>
      </c>
      <c r="B21" s="114">
        <f>_xlfn.COMPOUNDVALUE(381)</f>
        <v>3738</v>
      </c>
      <c r="C21" s="115">
        <v>22748250</v>
      </c>
      <c r="D21" s="114">
        <f>_xlfn.COMPOUNDVALUE(382)</f>
        <v>1307</v>
      </c>
      <c r="E21" s="115">
        <v>748292</v>
      </c>
      <c r="F21" s="114">
        <f>_xlfn.COMPOUNDVALUE(383)</f>
        <v>5045</v>
      </c>
      <c r="G21" s="115">
        <v>23496542</v>
      </c>
      <c r="H21" s="114">
        <f>_xlfn.COMPOUNDVALUE(384)</f>
        <v>316</v>
      </c>
      <c r="I21" s="116">
        <v>51809691</v>
      </c>
      <c r="J21" s="114">
        <v>267</v>
      </c>
      <c r="K21" s="116">
        <v>104631</v>
      </c>
      <c r="L21" s="114">
        <v>5395</v>
      </c>
      <c r="M21" s="116">
        <v>-28208518</v>
      </c>
      <c r="N21" s="12" t="s">
        <v>32</v>
      </c>
    </row>
    <row r="22" spans="1:14" ht="15.75" customHeight="1">
      <c r="A22" s="13" t="s">
        <v>33</v>
      </c>
      <c r="B22" s="119">
        <f>_xlfn.COMPOUNDVALUE(385)</f>
        <v>2499</v>
      </c>
      <c r="C22" s="120">
        <v>22315847</v>
      </c>
      <c r="D22" s="119">
        <f>_xlfn.COMPOUNDVALUE(386)</f>
        <v>809</v>
      </c>
      <c r="E22" s="120">
        <v>495177</v>
      </c>
      <c r="F22" s="119">
        <f>_xlfn.COMPOUNDVALUE(387)</f>
        <v>3308</v>
      </c>
      <c r="G22" s="120">
        <v>22811023</v>
      </c>
      <c r="H22" s="119">
        <f>_xlfn.COMPOUNDVALUE(388)</f>
        <v>195</v>
      </c>
      <c r="I22" s="121">
        <v>7362090</v>
      </c>
      <c r="J22" s="119">
        <v>122</v>
      </c>
      <c r="K22" s="121">
        <v>23666</v>
      </c>
      <c r="L22" s="119">
        <v>3520</v>
      </c>
      <c r="M22" s="121">
        <v>15472600</v>
      </c>
      <c r="N22" s="14" t="s">
        <v>33</v>
      </c>
    </row>
    <row r="23" spans="1:14" ht="15.75" customHeight="1">
      <c r="A23" s="13" t="s">
        <v>34</v>
      </c>
      <c r="B23" s="119">
        <f>_xlfn.COMPOUNDVALUE(389)</f>
        <v>989</v>
      </c>
      <c r="C23" s="120">
        <v>6985220</v>
      </c>
      <c r="D23" s="119">
        <f>_xlfn.COMPOUNDVALUE(390)</f>
        <v>358</v>
      </c>
      <c r="E23" s="120">
        <v>208493</v>
      </c>
      <c r="F23" s="119">
        <f>_xlfn.COMPOUNDVALUE(391)</f>
        <v>1347</v>
      </c>
      <c r="G23" s="120">
        <v>7193713</v>
      </c>
      <c r="H23" s="119">
        <f>_xlfn.COMPOUNDVALUE(392)</f>
        <v>29</v>
      </c>
      <c r="I23" s="121">
        <v>173528</v>
      </c>
      <c r="J23" s="119">
        <v>163</v>
      </c>
      <c r="K23" s="121">
        <v>-7496</v>
      </c>
      <c r="L23" s="119">
        <v>1381</v>
      </c>
      <c r="M23" s="121">
        <v>7012689</v>
      </c>
      <c r="N23" s="14" t="s">
        <v>34</v>
      </c>
    </row>
    <row r="24" spans="1:14" ht="15.75" customHeight="1">
      <c r="A24" s="13" t="s">
        <v>35</v>
      </c>
      <c r="B24" s="119">
        <f>_xlfn.COMPOUNDVALUE(393)</f>
        <v>805</v>
      </c>
      <c r="C24" s="120">
        <v>3144432</v>
      </c>
      <c r="D24" s="119">
        <f>_xlfn.COMPOUNDVALUE(394)</f>
        <v>270</v>
      </c>
      <c r="E24" s="120">
        <v>141946</v>
      </c>
      <c r="F24" s="119">
        <f>_xlfn.COMPOUNDVALUE(395)</f>
        <v>1075</v>
      </c>
      <c r="G24" s="120">
        <v>3286377</v>
      </c>
      <c r="H24" s="119">
        <f>_xlfn.COMPOUNDVALUE(396)</f>
        <v>46</v>
      </c>
      <c r="I24" s="121">
        <v>193217</v>
      </c>
      <c r="J24" s="119">
        <v>62</v>
      </c>
      <c r="K24" s="121">
        <v>5565</v>
      </c>
      <c r="L24" s="119">
        <v>1124</v>
      </c>
      <c r="M24" s="121">
        <v>3098726</v>
      </c>
      <c r="N24" s="14" t="s">
        <v>35</v>
      </c>
    </row>
    <row r="25" spans="1:14" ht="15.75" customHeight="1">
      <c r="A25" s="13" t="s">
        <v>36</v>
      </c>
      <c r="B25" s="119">
        <f>_xlfn.COMPOUNDVALUE(397)</f>
        <v>4074</v>
      </c>
      <c r="C25" s="120">
        <v>23492881</v>
      </c>
      <c r="D25" s="119">
        <f>_xlfn.COMPOUNDVALUE(398)</f>
        <v>1176</v>
      </c>
      <c r="E25" s="120">
        <v>688264</v>
      </c>
      <c r="F25" s="119">
        <f>_xlfn.COMPOUNDVALUE(399)</f>
        <v>5250</v>
      </c>
      <c r="G25" s="120">
        <v>24181145</v>
      </c>
      <c r="H25" s="119">
        <f>_xlfn.COMPOUNDVALUE(400)</f>
        <v>414</v>
      </c>
      <c r="I25" s="121">
        <v>1444895</v>
      </c>
      <c r="J25" s="119">
        <v>261</v>
      </c>
      <c r="K25" s="121">
        <v>5798</v>
      </c>
      <c r="L25" s="119">
        <v>5691</v>
      </c>
      <c r="M25" s="121">
        <v>22742048</v>
      </c>
      <c r="N25" s="14" t="s">
        <v>36</v>
      </c>
    </row>
    <row r="26" spans="1:14" ht="15.75" customHeight="1">
      <c r="A26" s="13" t="s">
        <v>37</v>
      </c>
      <c r="B26" s="119">
        <f>_xlfn.COMPOUNDVALUE(401)</f>
        <v>379</v>
      </c>
      <c r="C26" s="120">
        <v>1600287</v>
      </c>
      <c r="D26" s="119">
        <f>_xlfn.COMPOUNDVALUE(402)</f>
        <v>137</v>
      </c>
      <c r="E26" s="120">
        <v>68125</v>
      </c>
      <c r="F26" s="119">
        <f>_xlfn.COMPOUNDVALUE(403)</f>
        <v>516</v>
      </c>
      <c r="G26" s="120">
        <v>1668412</v>
      </c>
      <c r="H26" s="119">
        <f>_xlfn.COMPOUNDVALUE(404)</f>
        <v>10</v>
      </c>
      <c r="I26" s="121">
        <v>105787</v>
      </c>
      <c r="J26" s="119">
        <v>20</v>
      </c>
      <c r="K26" s="121">
        <v>5599</v>
      </c>
      <c r="L26" s="119">
        <v>529</v>
      </c>
      <c r="M26" s="121">
        <v>1568224</v>
      </c>
      <c r="N26" s="14" t="s">
        <v>37</v>
      </c>
    </row>
    <row r="27" spans="1:14" ht="15.75" customHeight="1">
      <c r="A27" s="13" t="s">
        <v>38</v>
      </c>
      <c r="B27" s="119">
        <f>_xlfn.COMPOUNDVALUE(405)</f>
        <v>1084</v>
      </c>
      <c r="C27" s="120">
        <v>4933900</v>
      </c>
      <c r="D27" s="119">
        <f>_xlfn.COMPOUNDVALUE(406)</f>
        <v>307</v>
      </c>
      <c r="E27" s="120">
        <v>173341</v>
      </c>
      <c r="F27" s="119">
        <f>_xlfn.COMPOUNDVALUE(407)</f>
        <v>1391</v>
      </c>
      <c r="G27" s="120">
        <v>5107240</v>
      </c>
      <c r="H27" s="119">
        <f>_xlfn.COMPOUNDVALUE(408)</f>
        <v>79</v>
      </c>
      <c r="I27" s="121">
        <v>501096</v>
      </c>
      <c r="J27" s="119">
        <v>85</v>
      </c>
      <c r="K27" s="121">
        <v>6923</v>
      </c>
      <c r="L27" s="119">
        <v>1475</v>
      </c>
      <c r="M27" s="121">
        <v>4613066</v>
      </c>
      <c r="N27" s="14" t="s">
        <v>38</v>
      </c>
    </row>
    <row r="28" spans="1:14" ht="15.75" customHeight="1">
      <c r="A28" s="13" t="s">
        <v>39</v>
      </c>
      <c r="B28" s="119">
        <f>_xlfn.COMPOUNDVALUE(409)</f>
        <v>475</v>
      </c>
      <c r="C28" s="120">
        <v>2168708</v>
      </c>
      <c r="D28" s="119">
        <f>_xlfn.COMPOUNDVALUE(410)</f>
        <v>129</v>
      </c>
      <c r="E28" s="120">
        <v>78916</v>
      </c>
      <c r="F28" s="119">
        <f>_xlfn.COMPOUNDVALUE(411)</f>
        <v>604</v>
      </c>
      <c r="G28" s="120">
        <v>2247624</v>
      </c>
      <c r="H28" s="119">
        <f>_xlfn.COMPOUNDVALUE(412)</f>
        <v>22</v>
      </c>
      <c r="I28" s="121">
        <v>261381</v>
      </c>
      <c r="J28" s="119">
        <v>81</v>
      </c>
      <c r="K28" s="121">
        <v>2762</v>
      </c>
      <c r="L28" s="119">
        <v>633</v>
      </c>
      <c r="M28" s="121">
        <v>1989005</v>
      </c>
      <c r="N28" s="14" t="s">
        <v>39</v>
      </c>
    </row>
    <row r="29" spans="1:14" ht="15.75" customHeight="1">
      <c r="A29" s="15" t="s">
        <v>166</v>
      </c>
      <c r="B29" s="124">
        <v>27312</v>
      </c>
      <c r="C29" s="125">
        <v>226324262</v>
      </c>
      <c r="D29" s="124">
        <v>9252</v>
      </c>
      <c r="E29" s="125">
        <v>5315138</v>
      </c>
      <c r="F29" s="124">
        <v>36564</v>
      </c>
      <c r="G29" s="125">
        <v>231639400</v>
      </c>
      <c r="H29" s="124">
        <v>2349</v>
      </c>
      <c r="I29" s="126">
        <v>87656086</v>
      </c>
      <c r="J29" s="124">
        <v>2056</v>
      </c>
      <c r="K29" s="126">
        <v>-100817</v>
      </c>
      <c r="L29" s="124">
        <v>39108</v>
      </c>
      <c r="M29" s="126">
        <v>143882497</v>
      </c>
      <c r="N29" s="16" t="s">
        <v>124</v>
      </c>
    </row>
    <row r="30" spans="1:14" ht="15.75" customHeight="1">
      <c r="A30" s="23"/>
      <c r="B30" s="129"/>
      <c r="C30" s="130"/>
      <c r="D30" s="129"/>
      <c r="E30" s="130"/>
      <c r="F30" s="131"/>
      <c r="G30" s="130"/>
      <c r="H30" s="131"/>
      <c r="I30" s="130"/>
      <c r="J30" s="131"/>
      <c r="K30" s="130"/>
      <c r="L30" s="131"/>
      <c r="M30" s="130"/>
      <c r="N30" s="24"/>
    </row>
    <row r="31" spans="1:14" ht="15.75" customHeight="1">
      <c r="A31" s="11" t="s">
        <v>41</v>
      </c>
      <c r="B31" s="114">
        <f>_xlfn.COMPOUNDVALUE(413)</f>
        <v>2642</v>
      </c>
      <c r="C31" s="115">
        <v>36493324</v>
      </c>
      <c r="D31" s="114">
        <f>_xlfn.COMPOUNDVALUE(414)</f>
        <v>671</v>
      </c>
      <c r="E31" s="115">
        <v>366270</v>
      </c>
      <c r="F31" s="114">
        <f>_xlfn.COMPOUNDVALUE(415)</f>
        <v>3313</v>
      </c>
      <c r="G31" s="115">
        <v>36859594</v>
      </c>
      <c r="H31" s="114">
        <f>_xlfn.COMPOUNDVALUE(416)</f>
        <v>397</v>
      </c>
      <c r="I31" s="116">
        <v>2387108</v>
      </c>
      <c r="J31" s="114">
        <v>232</v>
      </c>
      <c r="K31" s="116">
        <v>45462</v>
      </c>
      <c r="L31" s="114">
        <v>3731</v>
      </c>
      <c r="M31" s="116">
        <v>34517948</v>
      </c>
      <c r="N31" s="25" t="s">
        <v>41</v>
      </c>
    </row>
    <row r="32" spans="1:14" ht="15.75" customHeight="1">
      <c r="A32" s="11" t="s">
        <v>42</v>
      </c>
      <c r="B32" s="114">
        <f>_xlfn.COMPOUNDVALUE(417)</f>
        <v>5403</v>
      </c>
      <c r="C32" s="115">
        <v>77514777</v>
      </c>
      <c r="D32" s="114">
        <f>_xlfn.COMPOUNDVALUE(418)</f>
        <v>1210</v>
      </c>
      <c r="E32" s="115">
        <v>862246</v>
      </c>
      <c r="F32" s="114">
        <f>_xlfn.COMPOUNDVALUE(419)</f>
        <v>6613</v>
      </c>
      <c r="G32" s="115">
        <v>78377022</v>
      </c>
      <c r="H32" s="114">
        <f>_xlfn.COMPOUNDVALUE(420)</f>
        <v>1145</v>
      </c>
      <c r="I32" s="116">
        <v>27517585</v>
      </c>
      <c r="J32" s="114">
        <v>395</v>
      </c>
      <c r="K32" s="116">
        <v>262206</v>
      </c>
      <c r="L32" s="114">
        <v>7796</v>
      </c>
      <c r="M32" s="116">
        <v>51121643</v>
      </c>
      <c r="N32" s="12" t="s">
        <v>42</v>
      </c>
    </row>
    <row r="33" spans="1:14" ht="15.75" customHeight="1">
      <c r="A33" s="11" t="s">
        <v>43</v>
      </c>
      <c r="B33" s="114">
        <f>_xlfn.COMPOUNDVALUE(421)</f>
        <v>2205</v>
      </c>
      <c r="C33" s="115">
        <v>19115958</v>
      </c>
      <c r="D33" s="114">
        <f>_xlfn.COMPOUNDVALUE(422)</f>
        <v>576</v>
      </c>
      <c r="E33" s="115">
        <v>349966</v>
      </c>
      <c r="F33" s="114">
        <f>_xlfn.COMPOUNDVALUE(423)</f>
        <v>2781</v>
      </c>
      <c r="G33" s="115">
        <v>19465924</v>
      </c>
      <c r="H33" s="114">
        <f>_xlfn.COMPOUNDVALUE(424)</f>
        <v>231</v>
      </c>
      <c r="I33" s="116">
        <v>1247909</v>
      </c>
      <c r="J33" s="114">
        <v>141</v>
      </c>
      <c r="K33" s="116">
        <v>64795</v>
      </c>
      <c r="L33" s="114">
        <v>3030</v>
      </c>
      <c r="M33" s="116">
        <v>18282811</v>
      </c>
      <c r="N33" s="12" t="s">
        <v>43</v>
      </c>
    </row>
    <row r="34" spans="1:14" ht="15.75" customHeight="1">
      <c r="A34" s="11" t="s">
        <v>44</v>
      </c>
      <c r="B34" s="114">
        <f>_xlfn.COMPOUNDVALUE(425)</f>
        <v>2015</v>
      </c>
      <c r="C34" s="115">
        <v>26760476</v>
      </c>
      <c r="D34" s="114">
        <f>_xlfn.COMPOUNDVALUE(426)</f>
        <v>657</v>
      </c>
      <c r="E34" s="115">
        <v>373030</v>
      </c>
      <c r="F34" s="114">
        <f>_xlfn.COMPOUNDVALUE(427)</f>
        <v>2672</v>
      </c>
      <c r="G34" s="115">
        <v>27133506</v>
      </c>
      <c r="H34" s="114">
        <f>_xlfn.COMPOUNDVALUE(428)</f>
        <v>281</v>
      </c>
      <c r="I34" s="116">
        <v>1112913</v>
      </c>
      <c r="J34" s="114">
        <v>198</v>
      </c>
      <c r="K34" s="116">
        <v>-15161</v>
      </c>
      <c r="L34" s="114">
        <v>2982</v>
      </c>
      <c r="M34" s="116">
        <v>26005431</v>
      </c>
      <c r="N34" s="12" t="s">
        <v>44</v>
      </c>
    </row>
    <row r="35" spans="1:14" ht="15.75" customHeight="1">
      <c r="A35" s="11" t="s">
        <v>45</v>
      </c>
      <c r="B35" s="114">
        <f>_xlfn.COMPOUNDVALUE(429)</f>
        <v>2254</v>
      </c>
      <c r="C35" s="115">
        <v>25382350</v>
      </c>
      <c r="D35" s="114">
        <f>_xlfn.COMPOUNDVALUE(430)</f>
        <v>511</v>
      </c>
      <c r="E35" s="115">
        <v>316496</v>
      </c>
      <c r="F35" s="114">
        <f>_xlfn.COMPOUNDVALUE(431)</f>
        <v>2765</v>
      </c>
      <c r="G35" s="115">
        <v>25698846</v>
      </c>
      <c r="H35" s="114">
        <f>_xlfn.COMPOUNDVALUE(432)</f>
        <v>412</v>
      </c>
      <c r="I35" s="116">
        <v>18024886</v>
      </c>
      <c r="J35" s="114">
        <v>219</v>
      </c>
      <c r="K35" s="116">
        <v>21063</v>
      </c>
      <c r="L35" s="114">
        <v>3195</v>
      </c>
      <c r="M35" s="116">
        <v>7695023</v>
      </c>
      <c r="N35" s="12" t="s">
        <v>45</v>
      </c>
    </row>
    <row r="36" spans="1:14" ht="15.75" customHeight="1">
      <c r="A36" s="11" t="s">
        <v>46</v>
      </c>
      <c r="B36" s="114">
        <f>_xlfn.COMPOUNDVALUE(433)</f>
        <v>1431</v>
      </c>
      <c r="C36" s="115">
        <v>17004878</v>
      </c>
      <c r="D36" s="114">
        <f>_xlfn.COMPOUNDVALUE(434)</f>
        <v>401</v>
      </c>
      <c r="E36" s="115">
        <v>237578</v>
      </c>
      <c r="F36" s="114">
        <f>_xlfn.COMPOUNDVALUE(435)</f>
        <v>1832</v>
      </c>
      <c r="G36" s="115">
        <v>17242456</v>
      </c>
      <c r="H36" s="114">
        <f>_xlfn.COMPOUNDVALUE(436)</f>
        <v>160</v>
      </c>
      <c r="I36" s="116">
        <v>2737471</v>
      </c>
      <c r="J36" s="114">
        <v>105</v>
      </c>
      <c r="K36" s="116">
        <v>17357</v>
      </c>
      <c r="L36" s="114">
        <v>2009</v>
      </c>
      <c r="M36" s="116">
        <v>14522341</v>
      </c>
      <c r="N36" s="12" t="s">
        <v>46</v>
      </c>
    </row>
    <row r="37" spans="1:14" ht="15.75" customHeight="1">
      <c r="A37" s="11" t="s">
        <v>47</v>
      </c>
      <c r="B37" s="114">
        <f>_xlfn.COMPOUNDVALUE(437)</f>
        <v>1572</v>
      </c>
      <c r="C37" s="115">
        <v>14118602</v>
      </c>
      <c r="D37" s="114">
        <f>_xlfn.COMPOUNDVALUE(438)</f>
        <v>547</v>
      </c>
      <c r="E37" s="115">
        <v>308224</v>
      </c>
      <c r="F37" s="114">
        <f>_xlfn.COMPOUNDVALUE(439)</f>
        <v>2119</v>
      </c>
      <c r="G37" s="115">
        <v>14426826</v>
      </c>
      <c r="H37" s="114">
        <f>_xlfn.COMPOUNDVALUE(440)</f>
        <v>162</v>
      </c>
      <c r="I37" s="116">
        <v>905123</v>
      </c>
      <c r="J37" s="114">
        <v>129</v>
      </c>
      <c r="K37" s="116">
        <v>-7597</v>
      </c>
      <c r="L37" s="114">
        <v>2306</v>
      </c>
      <c r="M37" s="116">
        <v>13514106</v>
      </c>
      <c r="N37" s="12" t="s">
        <v>47</v>
      </c>
    </row>
    <row r="38" spans="1:14" ht="15.75" customHeight="1">
      <c r="A38" s="11" t="s">
        <v>48</v>
      </c>
      <c r="B38" s="114">
        <f>_xlfn.COMPOUNDVALUE(441)</f>
        <v>1699</v>
      </c>
      <c r="C38" s="115">
        <v>12172144</v>
      </c>
      <c r="D38" s="114">
        <f>_xlfn.COMPOUNDVALUE(442)</f>
        <v>650</v>
      </c>
      <c r="E38" s="115">
        <v>348260</v>
      </c>
      <c r="F38" s="114">
        <f>_xlfn.COMPOUNDVALUE(443)</f>
        <v>2349</v>
      </c>
      <c r="G38" s="115">
        <v>12520403</v>
      </c>
      <c r="H38" s="114">
        <f>_xlfn.COMPOUNDVALUE(444)</f>
        <v>228</v>
      </c>
      <c r="I38" s="116">
        <v>520325</v>
      </c>
      <c r="J38" s="114">
        <v>179</v>
      </c>
      <c r="K38" s="116">
        <v>-23888</v>
      </c>
      <c r="L38" s="114">
        <v>2596</v>
      </c>
      <c r="M38" s="116">
        <v>11976191</v>
      </c>
      <c r="N38" s="12" t="s">
        <v>48</v>
      </c>
    </row>
    <row r="39" spans="1:14" ht="15.75" customHeight="1">
      <c r="A39" s="11" t="s">
        <v>49</v>
      </c>
      <c r="B39" s="114">
        <f>_xlfn.COMPOUNDVALUE(445)</f>
        <v>2291</v>
      </c>
      <c r="C39" s="115">
        <v>14625767</v>
      </c>
      <c r="D39" s="114">
        <f>_xlfn.COMPOUNDVALUE(446)</f>
        <v>753</v>
      </c>
      <c r="E39" s="115">
        <v>433018</v>
      </c>
      <c r="F39" s="114">
        <f>_xlfn.COMPOUNDVALUE(447)</f>
        <v>3044</v>
      </c>
      <c r="G39" s="115">
        <v>15058785</v>
      </c>
      <c r="H39" s="114">
        <f>_xlfn.COMPOUNDVALUE(448)</f>
        <v>222</v>
      </c>
      <c r="I39" s="116">
        <v>752838</v>
      </c>
      <c r="J39" s="114">
        <v>175</v>
      </c>
      <c r="K39" s="116">
        <v>79774</v>
      </c>
      <c r="L39" s="114">
        <v>3286</v>
      </c>
      <c r="M39" s="116">
        <v>14385720</v>
      </c>
      <c r="N39" s="12" t="s">
        <v>49</v>
      </c>
    </row>
    <row r="40" spans="1:14" ht="15.75" customHeight="1">
      <c r="A40" s="11" t="s">
        <v>50</v>
      </c>
      <c r="B40" s="114">
        <f>_xlfn.COMPOUNDVALUE(449)</f>
        <v>2653</v>
      </c>
      <c r="C40" s="115">
        <v>20711239</v>
      </c>
      <c r="D40" s="114">
        <f>_xlfn.COMPOUNDVALUE(450)</f>
        <v>934</v>
      </c>
      <c r="E40" s="115">
        <v>511599</v>
      </c>
      <c r="F40" s="114">
        <f>_xlfn.COMPOUNDVALUE(451)</f>
        <v>3587</v>
      </c>
      <c r="G40" s="115">
        <v>21222838</v>
      </c>
      <c r="H40" s="114">
        <f>_xlfn.COMPOUNDVALUE(452)</f>
        <v>257</v>
      </c>
      <c r="I40" s="116">
        <v>1980201</v>
      </c>
      <c r="J40" s="114">
        <v>248</v>
      </c>
      <c r="K40" s="116">
        <v>57426</v>
      </c>
      <c r="L40" s="114">
        <v>3863</v>
      </c>
      <c r="M40" s="116">
        <v>19300064</v>
      </c>
      <c r="N40" s="12" t="s">
        <v>50</v>
      </c>
    </row>
    <row r="41" spans="1:14" ht="15.75" customHeight="1">
      <c r="A41" s="11" t="s">
        <v>51</v>
      </c>
      <c r="B41" s="114">
        <f>_xlfn.COMPOUNDVALUE(453)</f>
        <v>1219</v>
      </c>
      <c r="C41" s="115">
        <v>10189598</v>
      </c>
      <c r="D41" s="114">
        <f>_xlfn.COMPOUNDVALUE(454)</f>
        <v>479</v>
      </c>
      <c r="E41" s="115">
        <v>263685</v>
      </c>
      <c r="F41" s="114">
        <f>_xlfn.COMPOUNDVALUE(455)</f>
        <v>1698</v>
      </c>
      <c r="G41" s="115">
        <v>10453283</v>
      </c>
      <c r="H41" s="114">
        <f>_xlfn.COMPOUNDVALUE(456)</f>
        <v>178</v>
      </c>
      <c r="I41" s="116">
        <v>29899203</v>
      </c>
      <c r="J41" s="114">
        <v>85</v>
      </c>
      <c r="K41" s="116">
        <v>114538</v>
      </c>
      <c r="L41" s="114">
        <v>1880</v>
      </c>
      <c r="M41" s="116">
        <v>-19331382</v>
      </c>
      <c r="N41" s="12" t="s">
        <v>51</v>
      </c>
    </row>
    <row r="42" spans="1:14" ht="15.75" customHeight="1">
      <c r="A42" s="11" t="s">
        <v>52</v>
      </c>
      <c r="B42" s="114">
        <f>_xlfn.COMPOUNDVALUE(457)</f>
        <v>2673</v>
      </c>
      <c r="C42" s="115">
        <v>20256452</v>
      </c>
      <c r="D42" s="114">
        <f>_xlfn.COMPOUNDVALUE(458)</f>
        <v>802</v>
      </c>
      <c r="E42" s="115">
        <v>478064</v>
      </c>
      <c r="F42" s="114">
        <f>_xlfn.COMPOUNDVALUE(459)</f>
        <v>3475</v>
      </c>
      <c r="G42" s="115">
        <v>20734516</v>
      </c>
      <c r="H42" s="114">
        <f>_xlfn.COMPOUNDVALUE(460)</f>
        <v>328</v>
      </c>
      <c r="I42" s="116">
        <v>2360666</v>
      </c>
      <c r="J42" s="114">
        <v>305</v>
      </c>
      <c r="K42" s="116">
        <v>34959</v>
      </c>
      <c r="L42" s="114">
        <v>3839</v>
      </c>
      <c r="M42" s="116">
        <v>18408809</v>
      </c>
      <c r="N42" s="12" t="s">
        <v>52</v>
      </c>
    </row>
    <row r="43" spans="1:14" ht="15.75" customHeight="1">
      <c r="A43" s="11" t="s">
        <v>53</v>
      </c>
      <c r="B43" s="114">
        <f>_xlfn.COMPOUNDVALUE(461)</f>
        <v>4005</v>
      </c>
      <c r="C43" s="115">
        <v>19255386</v>
      </c>
      <c r="D43" s="114">
        <f>_xlfn.COMPOUNDVALUE(462)</f>
        <v>1284</v>
      </c>
      <c r="E43" s="115">
        <v>755537</v>
      </c>
      <c r="F43" s="114">
        <f>_xlfn.COMPOUNDVALUE(463)</f>
        <v>5289</v>
      </c>
      <c r="G43" s="115">
        <v>20010924</v>
      </c>
      <c r="H43" s="114">
        <f>_xlfn.COMPOUNDVALUE(464)</f>
        <v>335</v>
      </c>
      <c r="I43" s="116">
        <v>2092962</v>
      </c>
      <c r="J43" s="114">
        <v>339</v>
      </c>
      <c r="K43" s="116">
        <v>77907</v>
      </c>
      <c r="L43" s="114">
        <v>5664</v>
      </c>
      <c r="M43" s="116">
        <v>17995868</v>
      </c>
      <c r="N43" s="12" t="s">
        <v>53</v>
      </c>
    </row>
    <row r="44" spans="1:14" ht="15.75" customHeight="1">
      <c r="A44" s="11" t="s">
        <v>54</v>
      </c>
      <c r="B44" s="114">
        <f>_xlfn.COMPOUNDVALUE(465)</f>
        <v>1139</v>
      </c>
      <c r="C44" s="115">
        <v>9325479</v>
      </c>
      <c r="D44" s="114">
        <f>_xlfn.COMPOUNDVALUE(466)</f>
        <v>337</v>
      </c>
      <c r="E44" s="115">
        <v>197146</v>
      </c>
      <c r="F44" s="114">
        <f>_xlfn.COMPOUNDVALUE(467)</f>
        <v>1476</v>
      </c>
      <c r="G44" s="115">
        <v>9522625</v>
      </c>
      <c r="H44" s="114">
        <f>_xlfn.COMPOUNDVALUE(468)</f>
        <v>135</v>
      </c>
      <c r="I44" s="116">
        <v>576757</v>
      </c>
      <c r="J44" s="114">
        <v>136</v>
      </c>
      <c r="K44" s="116">
        <v>14355</v>
      </c>
      <c r="L44" s="114">
        <v>1623</v>
      </c>
      <c r="M44" s="116">
        <v>8960223</v>
      </c>
      <c r="N44" s="12" t="s">
        <v>54</v>
      </c>
    </row>
    <row r="45" spans="1:14" ht="15.75" customHeight="1">
      <c r="A45" s="11" t="s">
        <v>55</v>
      </c>
      <c r="B45" s="114">
        <f>_xlfn.COMPOUNDVALUE(469)</f>
        <v>5348</v>
      </c>
      <c r="C45" s="115">
        <v>73131913</v>
      </c>
      <c r="D45" s="114">
        <f>_xlfn.COMPOUNDVALUE(470)</f>
        <v>1624</v>
      </c>
      <c r="E45" s="115">
        <v>1058675</v>
      </c>
      <c r="F45" s="114">
        <f>_xlfn.COMPOUNDVALUE(471)</f>
        <v>6972</v>
      </c>
      <c r="G45" s="115">
        <v>74190588</v>
      </c>
      <c r="H45" s="114">
        <f>_xlfn.COMPOUNDVALUE(472)</f>
        <v>739</v>
      </c>
      <c r="I45" s="116">
        <v>8397362</v>
      </c>
      <c r="J45" s="114">
        <v>553</v>
      </c>
      <c r="K45" s="116">
        <v>237671</v>
      </c>
      <c r="L45" s="114">
        <v>7756</v>
      </c>
      <c r="M45" s="116">
        <v>66030897</v>
      </c>
      <c r="N45" s="12" t="s">
        <v>55</v>
      </c>
    </row>
    <row r="46" spans="1:14" ht="15.75" customHeight="1">
      <c r="A46" s="11" t="s">
        <v>56</v>
      </c>
      <c r="B46" s="114">
        <f>_xlfn.COMPOUNDVALUE(473)</f>
        <v>5650</v>
      </c>
      <c r="C46" s="115">
        <v>178125776</v>
      </c>
      <c r="D46" s="114">
        <f>_xlfn.COMPOUNDVALUE(474)</f>
        <v>1345</v>
      </c>
      <c r="E46" s="115">
        <v>918788</v>
      </c>
      <c r="F46" s="114">
        <f>_xlfn.COMPOUNDVALUE(475)</f>
        <v>6995</v>
      </c>
      <c r="G46" s="115">
        <v>179044564</v>
      </c>
      <c r="H46" s="114">
        <f>_xlfn.COMPOUNDVALUE(476)</f>
        <v>946</v>
      </c>
      <c r="I46" s="116">
        <v>84521064</v>
      </c>
      <c r="J46" s="114">
        <v>538</v>
      </c>
      <c r="K46" s="116">
        <v>51641</v>
      </c>
      <c r="L46" s="114">
        <v>8024</v>
      </c>
      <c r="M46" s="116">
        <v>94575141</v>
      </c>
      <c r="N46" s="12" t="s">
        <v>56</v>
      </c>
    </row>
    <row r="47" spans="1:14" ht="15.75" customHeight="1">
      <c r="A47" s="11" t="s">
        <v>57</v>
      </c>
      <c r="B47" s="114">
        <f>_xlfn.COMPOUNDVALUE(477)</f>
        <v>2665</v>
      </c>
      <c r="C47" s="115">
        <v>88554491</v>
      </c>
      <c r="D47" s="114">
        <f>_xlfn.COMPOUNDVALUE(478)</f>
        <v>756</v>
      </c>
      <c r="E47" s="115">
        <v>494712</v>
      </c>
      <c r="F47" s="114">
        <f>_xlfn.COMPOUNDVALUE(479)</f>
        <v>3421</v>
      </c>
      <c r="G47" s="115">
        <v>89049203</v>
      </c>
      <c r="H47" s="114">
        <f>_xlfn.COMPOUNDVALUE(480)</f>
        <v>438</v>
      </c>
      <c r="I47" s="116">
        <v>16342997</v>
      </c>
      <c r="J47" s="114">
        <v>234</v>
      </c>
      <c r="K47" s="116">
        <v>86957</v>
      </c>
      <c r="L47" s="114">
        <v>3883</v>
      </c>
      <c r="M47" s="116">
        <v>72793163</v>
      </c>
      <c r="N47" s="12" t="s">
        <v>57</v>
      </c>
    </row>
    <row r="48" spans="1:14" ht="15.75" customHeight="1">
      <c r="A48" s="11" t="s">
        <v>58</v>
      </c>
      <c r="B48" s="114">
        <f>_xlfn.COMPOUNDVALUE(481)</f>
        <v>7990</v>
      </c>
      <c r="C48" s="115">
        <v>251637705</v>
      </c>
      <c r="D48" s="114">
        <f>_xlfn.COMPOUNDVALUE(482)</f>
        <v>1747</v>
      </c>
      <c r="E48" s="115">
        <v>1634993</v>
      </c>
      <c r="F48" s="114">
        <f>_xlfn.COMPOUNDVALUE(483)</f>
        <v>9737</v>
      </c>
      <c r="G48" s="115">
        <v>253272697</v>
      </c>
      <c r="H48" s="114">
        <f>_xlfn.COMPOUNDVALUE(484)</f>
        <v>2234</v>
      </c>
      <c r="I48" s="116">
        <v>52235051</v>
      </c>
      <c r="J48" s="114">
        <v>742</v>
      </c>
      <c r="K48" s="116">
        <v>298133</v>
      </c>
      <c r="L48" s="114">
        <v>12065</v>
      </c>
      <c r="M48" s="116">
        <v>201335779</v>
      </c>
      <c r="N48" s="12" t="s">
        <v>58</v>
      </c>
    </row>
    <row r="49" spans="1:14" ht="15.75" customHeight="1">
      <c r="A49" s="11" t="s">
        <v>59</v>
      </c>
      <c r="B49" s="114">
        <f>_xlfn.COMPOUNDVALUE(485)</f>
        <v>4347</v>
      </c>
      <c r="C49" s="115">
        <v>52367502</v>
      </c>
      <c r="D49" s="114">
        <f>_xlfn.COMPOUNDVALUE(486)</f>
        <v>1151</v>
      </c>
      <c r="E49" s="115">
        <v>723532</v>
      </c>
      <c r="F49" s="114">
        <f>_xlfn.COMPOUNDVALUE(487)</f>
        <v>5498</v>
      </c>
      <c r="G49" s="115">
        <v>53091035</v>
      </c>
      <c r="H49" s="114">
        <f>_xlfn.COMPOUNDVALUE(488)</f>
        <v>889</v>
      </c>
      <c r="I49" s="116">
        <v>12053442</v>
      </c>
      <c r="J49" s="114">
        <v>377</v>
      </c>
      <c r="K49" s="116">
        <v>-112340</v>
      </c>
      <c r="L49" s="114">
        <v>6431</v>
      </c>
      <c r="M49" s="116">
        <v>40925252</v>
      </c>
      <c r="N49" s="12" t="s">
        <v>59</v>
      </c>
    </row>
    <row r="50" spans="1:14" ht="15.75" customHeight="1">
      <c r="A50" s="11" t="s">
        <v>60</v>
      </c>
      <c r="B50" s="114">
        <f>_xlfn.COMPOUNDVALUE(489)</f>
        <v>7882</v>
      </c>
      <c r="C50" s="115">
        <v>55732101</v>
      </c>
      <c r="D50" s="114">
        <f>_xlfn.COMPOUNDVALUE(490)</f>
        <v>2340</v>
      </c>
      <c r="E50" s="115">
        <v>1440257</v>
      </c>
      <c r="F50" s="114">
        <f>_xlfn.COMPOUNDVALUE(491)</f>
        <v>10222</v>
      </c>
      <c r="G50" s="115">
        <v>57172358</v>
      </c>
      <c r="H50" s="114">
        <f>_xlfn.COMPOUNDVALUE(492)</f>
        <v>854</v>
      </c>
      <c r="I50" s="116">
        <v>11866540</v>
      </c>
      <c r="J50" s="114">
        <v>596</v>
      </c>
      <c r="K50" s="116">
        <v>137215</v>
      </c>
      <c r="L50" s="114">
        <v>11149</v>
      </c>
      <c r="M50" s="116">
        <v>45443033</v>
      </c>
      <c r="N50" s="12" t="s">
        <v>60</v>
      </c>
    </row>
    <row r="51" spans="1:14" ht="15.75" customHeight="1">
      <c r="A51" s="11" t="s">
        <v>61</v>
      </c>
      <c r="B51" s="114">
        <f>_xlfn.COMPOUNDVALUE(493)</f>
        <v>2505</v>
      </c>
      <c r="C51" s="115">
        <v>13637669</v>
      </c>
      <c r="D51" s="114">
        <f>_xlfn.COMPOUNDVALUE(494)</f>
        <v>677</v>
      </c>
      <c r="E51" s="115">
        <v>414574</v>
      </c>
      <c r="F51" s="114">
        <f>_xlfn.COMPOUNDVALUE(495)</f>
        <v>3182</v>
      </c>
      <c r="G51" s="115">
        <v>14052243</v>
      </c>
      <c r="H51" s="114">
        <f>_xlfn.COMPOUNDVALUE(496)</f>
        <v>215</v>
      </c>
      <c r="I51" s="116">
        <v>1265402</v>
      </c>
      <c r="J51" s="114">
        <v>214</v>
      </c>
      <c r="K51" s="116">
        <v>138867</v>
      </c>
      <c r="L51" s="114">
        <v>3422</v>
      </c>
      <c r="M51" s="116">
        <v>12925708</v>
      </c>
      <c r="N51" s="12" t="s">
        <v>61</v>
      </c>
    </row>
    <row r="52" spans="1:14" ht="15.75" customHeight="1">
      <c r="A52" s="11" t="s">
        <v>62</v>
      </c>
      <c r="B52" s="114">
        <f>_xlfn.COMPOUNDVALUE(497)</f>
        <v>5259</v>
      </c>
      <c r="C52" s="115">
        <v>41395285</v>
      </c>
      <c r="D52" s="114">
        <f>_xlfn.COMPOUNDVALUE(498)</f>
        <v>2149</v>
      </c>
      <c r="E52" s="115">
        <v>1235779</v>
      </c>
      <c r="F52" s="114">
        <f>_xlfn.COMPOUNDVALUE(499)</f>
        <v>7408</v>
      </c>
      <c r="G52" s="115">
        <v>42631064</v>
      </c>
      <c r="H52" s="114">
        <f>_xlfn.COMPOUNDVALUE(500)</f>
        <v>619</v>
      </c>
      <c r="I52" s="116">
        <v>2698586</v>
      </c>
      <c r="J52" s="114">
        <v>492</v>
      </c>
      <c r="K52" s="116">
        <v>47333</v>
      </c>
      <c r="L52" s="114">
        <v>8065</v>
      </c>
      <c r="M52" s="116">
        <v>39979811</v>
      </c>
      <c r="N52" s="12" t="s">
        <v>62</v>
      </c>
    </row>
    <row r="53" spans="1:14" ht="15.75" customHeight="1">
      <c r="A53" s="11" t="s">
        <v>63</v>
      </c>
      <c r="B53" s="114">
        <f>_xlfn.COMPOUNDVALUE(501)</f>
        <v>4206</v>
      </c>
      <c r="C53" s="115">
        <v>35992636</v>
      </c>
      <c r="D53" s="114">
        <f>_xlfn.COMPOUNDVALUE(502)</f>
        <v>1502</v>
      </c>
      <c r="E53" s="115">
        <v>928985</v>
      </c>
      <c r="F53" s="114">
        <f>_xlfn.COMPOUNDVALUE(503)</f>
        <v>5708</v>
      </c>
      <c r="G53" s="115">
        <v>36921621</v>
      </c>
      <c r="H53" s="114">
        <f>_xlfn.COMPOUNDVALUE(504)</f>
        <v>409</v>
      </c>
      <c r="I53" s="116">
        <v>3171019</v>
      </c>
      <c r="J53" s="114">
        <v>272</v>
      </c>
      <c r="K53" s="116">
        <v>31137</v>
      </c>
      <c r="L53" s="114">
        <v>6151</v>
      </c>
      <c r="M53" s="116">
        <v>33781739</v>
      </c>
      <c r="N53" s="12" t="s">
        <v>63</v>
      </c>
    </row>
    <row r="54" spans="1:14" ht="15.75" customHeight="1">
      <c r="A54" s="11" t="s">
        <v>64</v>
      </c>
      <c r="B54" s="114">
        <f>_xlfn.COMPOUNDVALUE(505)</f>
        <v>2638</v>
      </c>
      <c r="C54" s="115">
        <v>15320351</v>
      </c>
      <c r="D54" s="114">
        <f>_xlfn.COMPOUNDVALUE(506)</f>
        <v>713</v>
      </c>
      <c r="E54" s="115">
        <v>452304</v>
      </c>
      <c r="F54" s="114">
        <f>_xlfn.COMPOUNDVALUE(507)</f>
        <v>3351</v>
      </c>
      <c r="G54" s="115">
        <v>15772655</v>
      </c>
      <c r="H54" s="114">
        <f>_xlfn.COMPOUNDVALUE(508)</f>
        <v>366</v>
      </c>
      <c r="I54" s="116">
        <v>5114553</v>
      </c>
      <c r="J54" s="114">
        <v>221</v>
      </c>
      <c r="K54" s="116">
        <v>44597</v>
      </c>
      <c r="L54" s="114">
        <v>3756</v>
      </c>
      <c r="M54" s="116">
        <v>10702698</v>
      </c>
      <c r="N54" s="12" t="s">
        <v>64</v>
      </c>
    </row>
    <row r="55" spans="1:14" ht="15.75" customHeight="1">
      <c r="A55" s="13" t="s">
        <v>65</v>
      </c>
      <c r="B55" s="119">
        <f>_xlfn.COMPOUNDVALUE(509)</f>
        <v>4396</v>
      </c>
      <c r="C55" s="120">
        <v>26241960</v>
      </c>
      <c r="D55" s="119">
        <f>_xlfn.COMPOUNDVALUE(510)</f>
        <v>1401</v>
      </c>
      <c r="E55" s="120">
        <v>866566</v>
      </c>
      <c r="F55" s="119">
        <f>_xlfn.COMPOUNDVALUE(511)</f>
        <v>5797</v>
      </c>
      <c r="G55" s="120">
        <v>27108526</v>
      </c>
      <c r="H55" s="119">
        <f>_xlfn.COMPOUNDVALUE(512)</f>
        <v>427</v>
      </c>
      <c r="I55" s="121">
        <v>2130938</v>
      </c>
      <c r="J55" s="119">
        <v>280</v>
      </c>
      <c r="K55" s="121">
        <v>93444</v>
      </c>
      <c r="L55" s="119">
        <v>6258</v>
      </c>
      <c r="M55" s="121">
        <v>25071032</v>
      </c>
      <c r="N55" s="14" t="s">
        <v>65</v>
      </c>
    </row>
    <row r="56" spans="1:14" ht="15.75" customHeight="1">
      <c r="A56" s="13" t="s">
        <v>66</v>
      </c>
      <c r="B56" s="119">
        <f>_xlfn.COMPOUNDVALUE(513)</f>
        <v>4205</v>
      </c>
      <c r="C56" s="120">
        <v>35233526</v>
      </c>
      <c r="D56" s="119">
        <f>_xlfn.COMPOUNDVALUE(514)</f>
        <v>1535</v>
      </c>
      <c r="E56" s="120">
        <v>911693</v>
      </c>
      <c r="F56" s="119">
        <f>_xlfn.COMPOUNDVALUE(515)</f>
        <v>5740</v>
      </c>
      <c r="G56" s="120">
        <v>36145218</v>
      </c>
      <c r="H56" s="119">
        <f>_xlfn.COMPOUNDVALUE(516)</f>
        <v>405</v>
      </c>
      <c r="I56" s="121">
        <v>16533076</v>
      </c>
      <c r="J56" s="119">
        <v>310</v>
      </c>
      <c r="K56" s="121">
        <v>80223</v>
      </c>
      <c r="L56" s="119">
        <v>6183</v>
      </c>
      <c r="M56" s="121">
        <v>19692366</v>
      </c>
      <c r="N56" s="14" t="s">
        <v>66</v>
      </c>
    </row>
    <row r="57" spans="1:14" ht="15.75" customHeight="1">
      <c r="A57" s="13" t="s">
        <v>67</v>
      </c>
      <c r="B57" s="119">
        <f>_xlfn.COMPOUNDVALUE(517)</f>
        <v>4965</v>
      </c>
      <c r="C57" s="120">
        <v>30418990</v>
      </c>
      <c r="D57" s="119">
        <f>_xlfn.COMPOUNDVALUE(518)</f>
        <v>1701</v>
      </c>
      <c r="E57" s="120">
        <v>956443</v>
      </c>
      <c r="F57" s="119">
        <f>_xlfn.COMPOUNDVALUE(519)</f>
        <v>6666</v>
      </c>
      <c r="G57" s="120">
        <v>31375433</v>
      </c>
      <c r="H57" s="119">
        <f>_xlfn.COMPOUNDVALUE(520)</f>
        <v>390</v>
      </c>
      <c r="I57" s="121">
        <v>2638995</v>
      </c>
      <c r="J57" s="119">
        <v>351</v>
      </c>
      <c r="K57" s="121">
        <v>67714</v>
      </c>
      <c r="L57" s="119">
        <v>7092</v>
      </c>
      <c r="M57" s="121">
        <v>28804151</v>
      </c>
      <c r="N57" s="14" t="s">
        <v>67</v>
      </c>
    </row>
    <row r="58" spans="1:14" ht="15.75" customHeight="1">
      <c r="A58" s="13" t="s">
        <v>68</v>
      </c>
      <c r="B58" s="119">
        <f>_xlfn.COMPOUNDVALUE(521)</f>
        <v>2084</v>
      </c>
      <c r="C58" s="120">
        <v>12973482</v>
      </c>
      <c r="D58" s="119">
        <f>_xlfn.COMPOUNDVALUE(522)</f>
        <v>579</v>
      </c>
      <c r="E58" s="120">
        <v>362848</v>
      </c>
      <c r="F58" s="119">
        <f>_xlfn.COMPOUNDVALUE(523)</f>
        <v>2663</v>
      </c>
      <c r="G58" s="120">
        <v>13336330</v>
      </c>
      <c r="H58" s="119">
        <f>_xlfn.COMPOUNDVALUE(524)</f>
        <v>211</v>
      </c>
      <c r="I58" s="121">
        <v>2605652</v>
      </c>
      <c r="J58" s="119">
        <v>190</v>
      </c>
      <c r="K58" s="121">
        <v>-6349</v>
      </c>
      <c r="L58" s="119">
        <v>2904</v>
      </c>
      <c r="M58" s="121">
        <v>10724329</v>
      </c>
      <c r="N58" s="14" t="s">
        <v>68</v>
      </c>
    </row>
    <row r="59" spans="1:14" ht="15.75" customHeight="1">
      <c r="A59" s="13" t="s">
        <v>69</v>
      </c>
      <c r="B59" s="119">
        <f>_xlfn.COMPOUNDVALUE(525)</f>
        <v>3401</v>
      </c>
      <c r="C59" s="120">
        <v>17922736</v>
      </c>
      <c r="D59" s="119">
        <f>_xlfn.COMPOUNDVALUE(526)</f>
        <v>1204</v>
      </c>
      <c r="E59" s="120">
        <v>711197</v>
      </c>
      <c r="F59" s="119">
        <f>_xlfn.COMPOUNDVALUE(527)</f>
        <v>4605</v>
      </c>
      <c r="G59" s="120">
        <v>18633933</v>
      </c>
      <c r="H59" s="119">
        <f>_xlfn.COMPOUNDVALUE(528)</f>
        <v>266</v>
      </c>
      <c r="I59" s="121">
        <v>524342</v>
      </c>
      <c r="J59" s="119">
        <v>274</v>
      </c>
      <c r="K59" s="121">
        <v>32904</v>
      </c>
      <c r="L59" s="119">
        <v>4907</v>
      </c>
      <c r="M59" s="121">
        <v>18142495</v>
      </c>
      <c r="N59" s="14" t="s">
        <v>69</v>
      </c>
    </row>
    <row r="60" spans="1:14" ht="15.75" customHeight="1">
      <c r="A60" s="13" t="s">
        <v>70</v>
      </c>
      <c r="B60" s="119">
        <f>_xlfn.COMPOUNDVALUE(529)</f>
        <v>4674</v>
      </c>
      <c r="C60" s="120">
        <v>35519160</v>
      </c>
      <c r="D60" s="119">
        <f>_xlfn.COMPOUNDVALUE(530)</f>
        <v>1614</v>
      </c>
      <c r="E60" s="120">
        <v>998981</v>
      </c>
      <c r="F60" s="119">
        <f>_xlfn.COMPOUNDVALUE(531)</f>
        <v>6288</v>
      </c>
      <c r="G60" s="120">
        <v>36518141</v>
      </c>
      <c r="H60" s="119">
        <f>_xlfn.COMPOUNDVALUE(532)</f>
        <v>398</v>
      </c>
      <c r="I60" s="121">
        <v>33710950</v>
      </c>
      <c r="J60" s="119">
        <v>399</v>
      </c>
      <c r="K60" s="121">
        <v>73147</v>
      </c>
      <c r="L60" s="119">
        <v>6731</v>
      </c>
      <c r="M60" s="121">
        <v>2880338</v>
      </c>
      <c r="N60" s="14" t="s">
        <v>70</v>
      </c>
    </row>
    <row r="61" spans="1:14" ht="15.75" customHeight="1">
      <c r="A61" s="13" t="s">
        <v>71</v>
      </c>
      <c r="B61" s="119">
        <f>_xlfn.COMPOUNDVALUE(533)</f>
        <v>7377</v>
      </c>
      <c r="C61" s="120">
        <v>46693238</v>
      </c>
      <c r="D61" s="119">
        <f>_xlfn.COMPOUNDVALUE(534)</f>
        <v>2319</v>
      </c>
      <c r="E61" s="120">
        <v>1397409</v>
      </c>
      <c r="F61" s="119">
        <f>_xlfn.COMPOUNDVALUE(535)</f>
        <v>9696</v>
      </c>
      <c r="G61" s="120">
        <v>48090647</v>
      </c>
      <c r="H61" s="119">
        <f>_xlfn.COMPOUNDVALUE(536)</f>
        <v>510</v>
      </c>
      <c r="I61" s="121">
        <v>1826361</v>
      </c>
      <c r="J61" s="119">
        <v>733</v>
      </c>
      <c r="K61" s="121">
        <v>177933</v>
      </c>
      <c r="L61" s="119">
        <v>10317</v>
      </c>
      <c r="M61" s="121">
        <v>46442219</v>
      </c>
      <c r="N61" s="14" t="s">
        <v>71</v>
      </c>
    </row>
    <row r="62" spans="1:14" ht="15.75" customHeight="1">
      <c r="A62" s="15" t="s">
        <v>167</v>
      </c>
      <c r="B62" s="124">
        <v>112793</v>
      </c>
      <c r="C62" s="125">
        <v>1333824949</v>
      </c>
      <c r="D62" s="124">
        <v>34169</v>
      </c>
      <c r="E62" s="125">
        <v>21308853</v>
      </c>
      <c r="F62" s="124">
        <v>146962</v>
      </c>
      <c r="G62" s="125">
        <v>1355133803</v>
      </c>
      <c r="H62" s="124">
        <v>14787</v>
      </c>
      <c r="I62" s="126">
        <v>349752277</v>
      </c>
      <c r="J62" s="124">
        <v>9662</v>
      </c>
      <c r="K62" s="126">
        <v>2223423</v>
      </c>
      <c r="L62" s="124">
        <v>162894</v>
      </c>
      <c r="M62" s="126">
        <v>1007604948</v>
      </c>
      <c r="N62" s="16" t="s">
        <v>125</v>
      </c>
    </row>
    <row r="63" spans="1:14" ht="15.75" customHeight="1">
      <c r="A63" s="23"/>
      <c r="B63" s="129"/>
      <c r="C63" s="130"/>
      <c r="D63" s="129"/>
      <c r="E63" s="130"/>
      <c r="F63" s="131"/>
      <c r="G63" s="130"/>
      <c r="H63" s="131"/>
      <c r="I63" s="130"/>
      <c r="J63" s="131"/>
      <c r="K63" s="130"/>
      <c r="L63" s="131"/>
      <c r="M63" s="130"/>
      <c r="N63" s="24"/>
    </row>
    <row r="64" spans="1:14" ht="15.75" customHeight="1">
      <c r="A64" s="11" t="s">
        <v>73</v>
      </c>
      <c r="B64" s="114">
        <f>_xlfn.COMPOUNDVALUE(537)</f>
        <v>1123</v>
      </c>
      <c r="C64" s="115">
        <v>12262515</v>
      </c>
      <c r="D64" s="114">
        <f>_xlfn.COMPOUNDVALUE(538)</f>
        <v>430</v>
      </c>
      <c r="E64" s="115">
        <v>264376</v>
      </c>
      <c r="F64" s="114">
        <f>_xlfn.COMPOUNDVALUE(539)</f>
        <v>1553</v>
      </c>
      <c r="G64" s="115">
        <v>12526890</v>
      </c>
      <c r="H64" s="114">
        <f>_xlfn.COMPOUNDVALUE(540)</f>
        <v>255</v>
      </c>
      <c r="I64" s="116">
        <v>1164263</v>
      </c>
      <c r="J64" s="114">
        <v>100</v>
      </c>
      <c r="K64" s="116">
        <v>41153</v>
      </c>
      <c r="L64" s="114">
        <v>1829</v>
      </c>
      <c r="M64" s="116">
        <v>11403781</v>
      </c>
      <c r="N64" s="25" t="s">
        <v>73</v>
      </c>
    </row>
    <row r="65" spans="1:14" ht="15.75" customHeight="1">
      <c r="A65" s="11" t="s">
        <v>74</v>
      </c>
      <c r="B65" s="114">
        <f>_xlfn.COMPOUNDVALUE(541)</f>
        <v>3415</v>
      </c>
      <c r="C65" s="115">
        <v>22485291</v>
      </c>
      <c r="D65" s="114">
        <f>_xlfn.COMPOUNDVALUE(542)</f>
        <v>1114</v>
      </c>
      <c r="E65" s="115">
        <v>633279</v>
      </c>
      <c r="F65" s="114">
        <f>_xlfn.COMPOUNDVALUE(543)</f>
        <v>4529</v>
      </c>
      <c r="G65" s="115">
        <v>23118570</v>
      </c>
      <c r="H65" s="114">
        <f>_xlfn.COMPOUNDVALUE(544)</f>
        <v>416</v>
      </c>
      <c r="I65" s="116">
        <v>4490590</v>
      </c>
      <c r="J65" s="114">
        <v>331</v>
      </c>
      <c r="K65" s="116">
        <v>32129</v>
      </c>
      <c r="L65" s="114">
        <v>4970</v>
      </c>
      <c r="M65" s="116">
        <v>18660108</v>
      </c>
      <c r="N65" s="12" t="s">
        <v>74</v>
      </c>
    </row>
    <row r="66" spans="1:14" ht="15.75" customHeight="1">
      <c r="A66" s="11" t="s">
        <v>75</v>
      </c>
      <c r="B66" s="114">
        <f>_xlfn.COMPOUNDVALUE(545)</f>
        <v>1307</v>
      </c>
      <c r="C66" s="115">
        <v>8388427</v>
      </c>
      <c r="D66" s="114">
        <f>_xlfn.COMPOUNDVALUE(546)</f>
        <v>432</v>
      </c>
      <c r="E66" s="115">
        <v>238705</v>
      </c>
      <c r="F66" s="114">
        <f>_xlfn.COMPOUNDVALUE(547)</f>
        <v>1739</v>
      </c>
      <c r="G66" s="115">
        <v>8627132</v>
      </c>
      <c r="H66" s="114">
        <f>_xlfn.COMPOUNDVALUE(548)</f>
        <v>118</v>
      </c>
      <c r="I66" s="116">
        <v>428897</v>
      </c>
      <c r="J66" s="114">
        <v>127</v>
      </c>
      <c r="K66" s="116">
        <v>39654</v>
      </c>
      <c r="L66" s="114">
        <v>1865</v>
      </c>
      <c r="M66" s="116">
        <v>8237889</v>
      </c>
      <c r="N66" s="12" t="s">
        <v>75</v>
      </c>
    </row>
    <row r="67" spans="1:14" ht="15.75" customHeight="1">
      <c r="A67" s="11" t="s">
        <v>76</v>
      </c>
      <c r="B67" s="114">
        <f>_xlfn.COMPOUNDVALUE(549)</f>
        <v>1645</v>
      </c>
      <c r="C67" s="115">
        <v>6944988</v>
      </c>
      <c r="D67" s="114">
        <f>_xlfn.COMPOUNDVALUE(550)</f>
        <v>716</v>
      </c>
      <c r="E67" s="115">
        <v>422090</v>
      </c>
      <c r="F67" s="114">
        <f>_xlfn.COMPOUNDVALUE(551)</f>
        <v>2361</v>
      </c>
      <c r="G67" s="115">
        <v>7367078</v>
      </c>
      <c r="H67" s="114">
        <f>_xlfn.COMPOUNDVALUE(552)</f>
        <v>244</v>
      </c>
      <c r="I67" s="116">
        <v>868704</v>
      </c>
      <c r="J67" s="114">
        <v>167</v>
      </c>
      <c r="K67" s="116">
        <v>1738</v>
      </c>
      <c r="L67" s="114">
        <v>2626</v>
      </c>
      <c r="M67" s="116">
        <v>6500111</v>
      </c>
      <c r="N67" s="12" t="s">
        <v>76</v>
      </c>
    </row>
    <row r="68" spans="1:14" ht="15.75" customHeight="1">
      <c r="A68" s="11" t="s">
        <v>77</v>
      </c>
      <c r="B68" s="114">
        <f>_xlfn.COMPOUNDVALUE(553)</f>
        <v>4882</v>
      </c>
      <c r="C68" s="115">
        <v>79778936</v>
      </c>
      <c r="D68" s="114">
        <f>_xlfn.COMPOUNDVALUE(554)</f>
        <v>1470</v>
      </c>
      <c r="E68" s="115">
        <v>945081</v>
      </c>
      <c r="F68" s="114">
        <f>_xlfn.COMPOUNDVALUE(555)</f>
        <v>6352</v>
      </c>
      <c r="G68" s="115">
        <v>80724017</v>
      </c>
      <c r="H68" s="114">
        <f>_xlfn.COMPOUNDVALUE(556)</f>
        <v>1733</v>
      </c>
      <c r="I68" s="116">
        <v>42351094</v>
      </c>
      <c r="J68" s="114">
        <v>573</v>
      </c>
      <c r="K68" s="116">
        <v>363114</v>
      </c>
      <c r="L68" s="114">
        <v>8126</v>
      </c>
      <c r="M68" s="116">
        <v>38736038</v>
      </c>
      <c r="N68" s="12" t="s">
        <v>77</v>
      </c>
    </row>
    <row r="69" spans="1:14" ht="15.75" customHeight="1">
      <c r="A69" s="11" t="s">
        <v>78</v>
      </c>
      <c r="B69" s="114">
        <f>_xlfn.COMPOUNDVALUE(557)</f>
        <v>5976</v>
      </c>
      <c r="C69" s="115">
        <v>47262062</v>
      </c>
      <c r="D69" s="114">
        <f>_xlfn.COMPOUNDVALUE(558)</f>
        <v>1720</v>
      </c>
      <c r="E69" s="115">
        <v>1046972</v>
      </c>
      <c r="F69" s="114">
        <f>_xlfn.COMPOUNDVALUE(559)</f>
        <v>7696</v>
      </c>
      <c r="G69" s="115">
        <v>48309034</v>
      </c>
      <c r="H69" s="114">
        <f>_xlfn.COMPOUNDVALUE(560)</f>
        <v>410</v>
      </c>
      <c r="I69" s="116">
        <v>2850599</v>
      </c>
      <c r="J69" s="114">
        <v>455</v>
      </c>
      <c r="K69" s="116">
        <v>53752</v>
      </c>
      <c r="L69" s="114">
        <v>8144</v>
      </c>
      <c r="M69" s="116">
        <v>45512187</v>
      </c>
      <c r="N69" s="12" t="s">
        <v>78</v>
      </c>
    </row>
    <row r="70" spans="1:14" ht="15.75" customHeight="1">
      <c r="A70" s="11" t="s">
        <v>79</v>
      </c>
      <c r="B70" s="114">
        <f>_xlfn.COMPOUNDVALUE(561)</f>
        <v>4438</v>
      </c>
      <c r="C70" s="115">
        <v>38110476</v>
      </c>
      <c r="D70" s="114">
        <f>_xlfn.COMPOUNDVALUE(562)</f>
        <v>1334</v>
      </c>
      <c r="E70" s="115">
        <v>801696</v>
      </c>
      <c r="F70" s="114">
        <f>_xlfn.COMPOUNDVALUE(563)</f>
        <v>5772</v>
      </c>
      <c r="G70" s="115">
        <v>38912172</v>
      </c>
      <c r="H70" s="114">
        <f>_xlfn.COMPOUNDVALUE(564)</f>
        <v>470</v>
      </c>
      <c r="I70" s="116">
        <v>2262041</v>
      </c>
      <c r="J70" s="114">
        <v>506</v>
      </c>
      <c r="K70" s="116">
        <v>159231</v>
      </c>
      <c r="L70" s="114">
        <v>6289</v>
      </c>
      <c r="M70" s="116">
        <v>36809362</v>
      </c>
      <c r="N70" s="12" t="s">
        <v>79</v>
      </c>
    </row>
    <row r="71" spans="1:14" ht="15.75" customHeight="1">
      <c r="A71" s="11" t="s">
        <v>80</v>
      </c>
      <c r="B71" s="114">
        <f>_xlfn.COMPOUNDVALUE(565)</f>
        <v>3369</v>
      </c>
      <c r="C71" s="115">
        <v>21034487</v>
      </c>
      <c r="D71" s="114">
        <f>_xlfn.COMPOUNDVALUE(566)</f>
        <v>1134</v>
      </c>
      <c r="E71" s="115">
        <v>695278</v>
      </c>
      <c r="F71" s="114">
        <f>_xlfn.COMPOUNDVALUE(567)</f>
        <v>4503</v>
      </c>
      <c r="G71" s="115">
        <v>21729765</v>
      </c>
      <c r="H71" s="114">
        <f>_xlfn.COMPOUNDVALUE(568)</f>
        <v>385</v>
      </c>
      <c r="I71" s="116">
        <v>1750839</v>
      </c>
      <c r="J71" s="114">
        <v>268</v>
      </c>
      <c r="K71" s="116">
        <v>20565</v>
      </c>
      <c r="L71" s="114">
        <v>4919</v>
      </c>
      <c r="M71" s="116">
        <v>19999491</v>
      </c>
      <c r="N71" s="12" t="s">
        <v>80</v>
      </c>
    </row>
    <row r="72" spans="1:14" ht="15.75" customHeight="1">
      <c r="A72" s="11" t="s">
        <v>81</v>
      </c>
      <c r="B72" s="114">
        <f>_xlfn.COMPOUNDVALUE(569)</f>
        <v>4310</v>
      </c>
      <c r="C72" s="115">
        <v>29496967</v>
      </c>
      <c r="D72" s="114">
        <f>_xlfn.COMPOUNDVALUE(570)</f>
        <v>1787</v>
      </c>
      <c r="E72" s="115">
        <v>1096891</v>
      </c>
      <c r="F72" s="114">
        <f>_xlfn.COMPOUNDVALUE(571)</f>
        <v>6097</v>
      </c>
      <c r="G72" s="115">
        <v>30593858</v>
      </c>
      <c r="H72" s="114">
        <f>_xlfn.COMPOUNDVALUE(572)</f>
        <v>548</v>
      </c>
      <c r="I72" s="116">
        <v>3467658</v>
      </c>
      <c r="J72" s="114">
        <v>464</v>
      </c>
      <c r="K72" s="116">
        <v>26333</v>
      </c>
      <c r="L72" s="114">
        <v>6681</v>
      </c>
      <c r="M72" s="116">
        <v>27152533</v>
      </c>
      <c r="N72" s="12" t="s">
        <v>81</v>
      </c>
    </row>
    <row r="73" spans="1:14" ht="15.75" customHeight="1">
      <c r="A73" s="11" t="s">
        <v>82</v>
      </c>
      <c r="B73" s="114">
        <f>_xlfn.COMPOUNDVALUE(573)</f>
        <v>1309</v>
      </c>
      <c r="C73" s="115">
        <v>6838274</v>
      </c>
      <c r="D73" s="114">
        <f>_xlfn.COMPOUNDVALUE(574)</f>
        <v>416</v>
      </c>
      <c r="E73" s="115">
        <v>240150</v>
      </c>
      <c r="F73" s="114">
        <f>_xlfn.COMPOUNDVALUE(575)</f>
        <v>1725</v>
      </c>
      <c r="G73" s="115">
        <v>7078424</v>
      </c>
      <c r="H73" s="114">
        <f>_xlfn.COMPOUNDVALUE(576)</f>
        <v>98</v>
      </c>
      <c r="I73" s="116">
        <v>779565</v>
      </c>
      <c r="J73" s="114">
        <v>87</v>
      </c>
      <c r="K73" s="116">
        <v>142708</v>
      </c>
      <c r="L73" s="114">
        <v>1852</v>
      </c>
      <c r="M73" s="116">
        <v>6441567</v>
      </c>
      <c r="N73" s="12" t="s">
        <v>82</v>
      </c>
    </row>
    <row r="74" spans="1:14" ht="15.75" customHeight="1">
      <c r="A74" s="11" t="s">
        <v>83</v>
      </c>
      <c r="B74" s="114">
        <f>_xlfn.COMPOUNDVALUE(577)</f>
        <v>2568</v>
      </c>
      <c r="C74" s="115">
        <v>29041811</v>
      </c>
      <c r="D74" s="114">
        <f>_xlfn.COMPOUNDVALUE(578)</f>
        <v>971</v>
      </c>
      <c r="E74" s="115">
        <v>567725</v>
      </c>
      <c r="F74" s="114">
        <f>_xlfn.COMPOUNDVALUE(579)</f>
        <v>3539</v>
      </c>
      <c r="G74" s="115">
        <v>29609537</v>
      </c>
      <c r="H74" s="114">
        <f>_xlfn.COMPOUNDVALUE(580)</f>
        <v>488</v>
      </c>
      <c r="I74" s="116">
        <v>4680496</v>
      </c>
      <c r="J74" s="114">
        <v>242</v>
      </c>
      <c r="K74" s="116">
        <v>66657</v>
      </c>
      <c r="L74" s="114">
        <v>4055</v>
      </c>
      <c r="M74" s="116">
        <v>24995697</v>
      </c>
      <c r="N74" s="12" t="s">
        <v>83</v>
      </c>
    </row>
    <row r="75" spans="1:14" ht="15.75" customHeight="1">
      <c r="A75" s="11" t="s">
        <v>84</v>
      </c>
      <c r="B75" s="114">
        <f>_xlfn.COMPOUNDVALUE(581)</f>
        <v>2381</v>
      </c>
      <c r="C75" s="115">
        <v>17196748</v>
      </c>
      <c r="D75" s="114">
        <f>_xlfn.COMPOUNDVALUE(582)</f>
        <v>878</v>
      </c>
      <c r="E75" s="115">
        <v>546034</v>
      </c>
      <c r="F75" s="114">
        <f>_xlfn.COMPOUNDVALUE(583)</f>
        <v>3259</v>
      </c>
      <c r="G75" s="115">
        <v>17742781</v>
      </c>
      <c r="H75" s="114">
        <f>_xlfn.COMPOUNDVALUE(584)</f>
        <v>274</v>
      </c>
      <c r="I75" s="116">
        <v>1161846</v>
      </c>
      <c r="J75" s="114">
        <v>191</v>
      </c>
      <c r="K75" s="116">
        <v>107699</v>
      </c>
      <c r="L75" s="114">
        <v>3552</v>
      </c>
      <c r="M75" s="116">
        <v>16688635</v>
      </c>
      <c r="N75" s="12" t="s">
        <v>84</v>
      </c>
    </row>
    <row r="76" spans="1:14" ht="15.75" customHeight="1">
      <c r="A76" s="11" t="s">
        <v>85</v>
      </c>
      <c r="B76" s="114">
        <f>_xlfn.COMPOUNDVALUE(585)</f>
        <v>827</v>
      </c>
      <c r="C76" s="115">
        <v>4110976</v>
      </c>
      <c r="D76" s="114">
        <f>_xlfn.COMPOUNDVALUE(586)</f>
        <v>289</v>
      </c>
      <c r="E76" s="115">
        <v>163007</v>
      </c>
      <c r="F76" s="114">
        <f>_xlfn.COMPOUNDVALUE(587)</f>
        <v>1116</v>
      </c>
      <c r="G76" s="115">
        <v>4273984</v>
      </c>
      <c r="H76" s="114">
        <f>_xlfn.COMPOUNDVALUE(588)</f>
        <v>50</v>
      </c>
      <c r="I76" s="116">
        <v>308516</v>
      </c>
      <c r="J76" s="114">
        <v>45</v>
      </c>
      <c r="K76" s="116">
        <v>18121</v>
      </c>
      <c r="L76" s="114">
        <v>1175</v>
      </c>
      <c r="M76" s="116">
        <v>3983588</v>
      </c>
      <c r="N76" s="12" t="s">
        <v>85</v>
      </c>
    </row>
    <row r="77" spans="1:14" ht="15.75" customHeight="1">
      <c r="A77" s="11" t="s">
        <v>86</v>
      </c>
      <c r="B77" s="114">
        <f>_xlfn.COMPOUNDVALUE(589)</f>
        <v>1186</v>
      </c>
      <c r="C77" s="115">
        <v>5674218</v>
      </c>
      <c r="D77" s="114">
        <f>_xlfn.COMPOUNDVALUE(590)</f>
        <v>298</v>
      </c>
      <c r="E77" s="115">
        <v>167248</v>
      </c>
      <c r="F77" s="114">
        <f>_xlfn.COMPOUNDVALUE(591)</f>
        <v>1484</v>
      </c>
      <c r="G77" s="115">
        <v>5841466</v>
      </c>
      <c r="H77" s="114">
        <f>_xlfn.COMPOUNDVALUE(592)</f>
        <v>43</v>
      </c>
      <c r="I77" s="116">
        <v>207094</v>
      </c>
      <c r="J77" s="114">
        <v>87</v>
      </c>
      <c r="K77" s="116">
        <v>9201</v>
      </c>
      <c r="L77" s="114">
        <v>1535</v>
      </c>
      <c r="M77" s="116">
        <v>5643574</v>
      </c>
      <c r="N77" s="12" t="s">
        <v>86</v>
      </c>
    </row>
    <row r="78" spans="1:14" ht="15.75" customHeight="1">
      <c r="A78" s="13" t="s">
        <v>87</v>
      </c>
      <c r="B78" s="119">
        <f>_xlfn.COMPOUNDVALUE(593)</f>
        <v>2859</v>
      </c>
      <c r="C78" s="120">
        <v>17499257</v>
      </c>
      <c r="D78" s="119">
        <f>_xlfn.COMPOUNDVALUE(594)</f>
        <v>902</v>
      </c>
      <c r="E78" s="120">
        <v>551430</v>
      </c>
      <c r="F78" s="119">
        <f>_xlfn.COMPOUNDVALUE(595)</f>
        <v>3761</v>
      </c>
      <c r="G78" s="120">
        <v>18050687</v>
      </c>
      <c r="H78" s="119">
        <f>_xlfn.COMPOUNDVALUE(596)</f>
        <v>238</v>
      </c>
      <c r="I78" s="121">
        <v>3200515</v>
      </c>
      <c r="J78" s="119">
        <v>273</v>
      </c>
      <c r="K78" s="121">
        <v>56423</v>
      </c>
      <c r="L78" s="119">
        <v>4019</v>
      </c>
      <c r="M78" s="121">
        <v>14906595</v>
      </c>
      <c r="N78" s="14" t="s">
        <v>87</v>
      </c>
    </row>
    <row r="79" spans="1:14" ht="15.75" customHeight="1">
      <c r="A79" s="13" t="s">
        <v>88</v>
      </c>
      <c r="B79" s="119">
        <f>_xlfn.COMPOUNDVALUE(597)</f>
        <v>1310</v>
      </c>
      <c r="C79" s="120">
        <v>7086407</v>
      </c>
      <c r="D79" s="119">
        <f>_xlfn.COMPOUNDVALUE(598)</f>
        <v>514</v>
      </c>
      <c r="E79" s="120">
        <v>286209</v>
      </c>
      <c r="F79" s="119">
        <f>_xlfn.COMPOUNDVALUE(599)</f>
        <v>1824</v>
      </c>
      <c r="G79" s="120">
        <v>7372616</v>
      </c>
      <c r="H79" s="119">
        <f>_xlfn.COMPOUNDVALUE(600)</f>
        <v>99</v>
      </c>
      <c r="I79" s="121">
        <v>828252</v>
      </c>
      <c r="J79" s="119">
        <v>76</v>
      </c>
      <c r="K79" s="121">
        <v>9202</v>
      </c>
      <c r="L79" s="119">
        <v>1936</v>
      </c>
      <c r="M79" s="121">
        <v>6553566</v>
      </c>
      <c r="N79" s="14" t="s">
        <v>88</v>
      </c>
    </row>
    <row r="80" spans="1:14" ht="15.75" customHeight="1">
      <c r="A80" s="13" t="s">
        <v>89</v>
      </c>
      <c r="B80" s="119">
        <f>_xlfn.COMPOUNDVALUE(601)</f>
        <v>636</v>
      </c>
      <c r="C80" s="120">
        <v>2877729</v>
      </c>
      <c r="D80" s="119">
        <f>_xlfn.COMPOUNDVALUE(602)</f>
        <v>272</v>
      </c>
      <c r="E80" s="120">
        <v>144362</v>
      </c>
      <c r="F80" s="119">
        <f>_xlfn.COMPOUNDVALUE(603)</f>
        <v>908</v>
      </c>
      <c r="G80" s="120">
        <v>3022091</v>
      </c>
      <c r="H80" s="119">
        <f>_xlfn.COMPOUNDVALUE(604)</f>
        <v>43</v>
      </c>
      <c r="I80" s="121">
        <v>176555</v>
      </c>
      <c r="J80" s="119">
        <v>32</v>
      </c>
      <c r="K80" s="121">
        <v>1087</v>
      </c>
      <c r="L80" s="119">
        <v>954</v>
      </c>
      <c r="M80" s="121">
        <v>2846623</v>
      </c>
      <c r="N80" s="14" t="s">
        <v>89</v>
      </c>
    </row>
    <row r="81" spans="1:14" ht="15.75" customHeight="1">
      <c r="A81" s="13" t="s">
        <v>90</v>
      </c>
      <c r="B81" s="119">
        <f>_xlfn.COMPOUNDVALUE(605)</f>
        <v>704</v>
      </c>
      <c r="C81" s="120">
        <v>3914171</v>
      </c>
      <c r="D81" s="119">
        <f>_xlfn.COMPOUNDVALUE(606)</f>
        <v>199</v>
      </c>
      <c r="E81" s="120">
        <v>104848</v>
      </c>
      <c r="F81" s="119">
        <f>_xlfn.COMPOUNDVALUE(607)</f>
        <v>903</v>
      </c>
      <c r="G81" s="120">
        <v>4019019</v>
      </c>
      <c r="H81" s="119">
        <f>_xlfn.COMPOUNDVALUE(608)</f>
        <v>134</v>
      </c>
      <c r="I81" s="121">
        <v>682791</v>
      </c>
      <c r="J81" s="119">
        <v>45</v>
      </c>
      <c r="K81" s="121">
        <v>3860</v>
      </c>
      <c r="L81" s="119">
        <v>1048</v>
      </c>
      <c r="M81" s="121">
        <v>3340087</v>
      </c>
      <c r="N81" s="14" t="s">
        <v>90</v>
      </c>
    </row>
    <row r="82" spans="1:14" ht="15.75" customHeight="1">
      <c r="A82" s="13" t="s">
        <v>91</v>
      </c>
      <c r="B82" s="119">
        <f>_xlfn.COMPOUNDVALUE(609)</f>
        <v>1280</v>
      </c>
      <c r="C82" s="120">
        <v>8487773</v>
      </c>
      <c r="D82" s="119">
        <f>_xlfn.COMPOUNDVALUE(610)</f>
        <v>415</v>
      </c>
      <c r="E82" s="120">
        <v>255522</v>
      </c>
      <c r="F82" s="119">
        <f>_xlfn.COMPOUNDVALUE(611)</f>
        <v>1695</v>
      </c>
      <c r="G82" s="120">
        <v>8743294</v>
      </c>
      <c r="H82" s="119">
        <f>_xlfn.COMPOUNDVALUE(612)</f>
        <v>116</v>
      </c>
      <c r="I82" s="121">
        <v>935484</v>
      </c>
      <c r="J82" s="119">
        <v>67</v>
      </c>
      <c r="K82" s="121">
        <v>2140</v>
      </c>
      <c r="L82" s="119">
        <v>1820</v>
      </c>
      <c r="M82" s="121">
        <v>7809949</v>
      </c>
      <c r="N82" s="14" t="s">
        <v>91</v>
      </c>
    </row>
    <row r="83" spans="1:14" ht="15.75" customHeight="1">
      <c r="A83" s="13" t="s">
        <v>92</v>
      </c>
      <c r="B83" s="119">
        <f>_xlfn.COMPOUNDVALUE(613)</f>
        <v>510</v>
      </c>
      <c r="C83" s="120">
        <v>2771483</v>
      </c>
      <c r="D83" s="119">
        <f>_xlfn.COMPOUNDVALUE(614)</f>
        <v>149</v>
      </c>
      <c r="E83" s="120">
        <v>91962</v>
      </c>
      <c r="F83" s="119">
        <f>_xlfn.COMPOUNDVALUE(615)</f>
        <v>659</v>
      </c>
      <c r="G83" s="120">
        <v>2863444</v>
      </c>
      <c r="H83" s="119">
        <f>_xlfn.COMPOUNDVALUE(616)</f>
        <v>18</v>
      </c>
      <c r="I83" s="121">
        <v>204407</v>
      </c>
      <c r="J83" s="119">
        <v>46</v>
      </c>
      <c r="K83" s="121">
        <v>7301</v>
      </c>
      <c r="L83" s="119">
        <v>680</v>
      </c>
      <c r="M83" s="121">
        <v>2666338</v>
      </c>
      <c r="N83" s="14" t="s">
        <v>92</v>
      </c>
    </row>
    <row r="84" spans="1:14" ht="15.75" customHeight="1">
      <c r="A84" s="13" t="s">
        <v>93</v>
      </c>
      <c r="B84" s="119">
        <f>_xlfn.COMPOUNDVALUE(617)</f>
        <v>875</v>
      </c>
      <c r="C84" s="120">
        <v>4741933</v>
      </c>
      <c r="D84" s="119">
        <f>_xlfn.COMPOUNDVALUE(618)</f>
        <v>308</v>
      </c>
      <c r="E84" s="120">
        <v>174036</v>
      </c>
      <c r="F84" s="119">
        <f>_xlfn.COMPOUNDVALUE(619)</f>
        <v>1183</v>
      </c>
      <c r="G84" s="120">
        <v>4915968</v>
      </c>
      <c r="H84" s="119">
        <f>_xlfn.COMPOUNDVALUE(620)</f>
        <v>45</v>
      </c>
      <c r="I84" s="121">
        <v>451285</v>
      </c>
      <c r="J84" s="119">
        <v>70</v>
      </c>
      <c r="K84" s="121">
        <v>7942</v>
      </c>
      <c r="L84" s="119">
        <v>1242</v>
      </c>
      <c r="M84" s="121">
        <v>4472626</v>
      </c>
      <c r="N84" s="14" t="s">
        <v>93</v>
      </c>
    </row>
    <row r="85" spans="1:14" ht="15.75" customHeight="1">
      <c r="A85" s="15" t="s">
        <v>168</v>
      </c>
      <c r="B85" s="124">
        <v>46910</v>
      </c>
      <c r="C85" s="125">
        <v>376004928</v>
      </c>
      <c r="D85" s="124">
        <v>15748</v>
      </c>
      <c r="E85" s="125">
        <v>9436897</v>
      </c>
      <c r="F85" s="124">
        <v>62658</v>
      </c>
      <c r="G85" s="125">
        <v>385441826</v>
      </c>
      <c r="H85" s="124">
        <v>6225</v>
      </c>
      <c r="I85" s="126">
        <v>73251491</v>
      </c>
      <c r="J85" s="124">
        <v>4252</v>
      </c>
      <c r="K85" s="126">
        <v>1170009</v>
      </c>
      <c r="L85" s="124">
        <v>69317</v>
      </c>
      <c r="M85" s="126">
        <v>313360343</v>
      </c>
      <c r="N85" s="16" t="s">
        <v>126</v>
      </c>
    </row>
    <row r="86" spans="1:14" ht="15.75" customHeight="1">
      <c r="A86" s="23"/>
      <c r="B86" s="129"/>
      <c r="C86" s="130"/>
      <c r="D86" s="129"/>
      <c r="E86" s="130"/>
      <c r="F86" s="131"/>
      <c r="G86" s="130"/>
      <c r="H86" s="131"/>
      <c r="I86" s="130"/>
      <c r="J86" s="131"/>
      <c r="K86" s="130"/>
      <c r="L86" s="131"/>
      <c r="M86" s="130"/>
      <c r="N86" s="24"/>
    </row>
    <row r="87" spans="1:14" ht="15.75" customHeight="1">
      <c r="A87" s="13" t="s">
        <v>95</v>
      </c>
      <c r="B87" s="119">
        <f>_xlfn.COMPOUNDVALUE(621)</f>
        <v>4332</v>
      </c>
      <c r="C87" s="120">
        <v>24047256</v>
      </c>
      <c r="D87" s="119">
        <f>_xlfn.COMPOUNDVALUE(622)</f>
        <v>1594</v>
      </c>
      <c r="E87" s="120">
        <v>938643</v>
      </c>
      <c r="F87" s="119">
        <f>_xlfn.COMPOUNDVALUE(623)</f>
        <v>5926</v>
      </c>
      <c r="G87" s="120">
        <v>24985899</v>
      </c>
      <c r="H87" s="119">
        <f>_xlfn.COMPOUNDVALUE(624)</f>
        <v>539</v>
      </c>
      <c r="I87" s="121">
        <v>6102917</v>
      </c>
      <c r="J87" s="119">
        <v>506</v>
      </c>
      <c r="K87" s="121">
        <v>86692</v>
      </c>
      <c r="L87" s="119">
        <v>6529</v>
      </c>
      <c r="M87" s="121">
        <v>18969674</v>
      </c>
      <c r="N87" s="14" t="s">
        <v>95</v>
      </c>
    </row>
    <row r="88" spans="1:14" ht="15.75" customHeight="1">
      <c r="A88" s="13" t="s">
        <v>96</v>
      </c>
      <c r="B88" s="119">
        <f>_xlfn.COMPOUNDVALUE(625)</f>
        <v>3201</v>
      </c>
      <c r="C88" s="120">
        <v>15987332</v>
      </c>
      <c r="D88" s="119">
        <f>_xlfn.COMPOUNDVALUE(626)</f>
        <v>1002</v>
      </c>
      <c r="E88" s="120">
        <v>593397</v>
      </c>
      <c r="F88" s="119">
        <f>_xlfn.COMPOUNDVALUE(627)</f>
        <v>4203</v>
      </c>
      <c r="G88" s="120">
        <v>16580729</v>
      </c>
      <c r="H88" s="119">
        <f>_xlfn.COMPOUNDVALUE(628)</f>
        <v>330</v>
      </c>
      <c r="I88" s="121">
        <v>1500991</v>
      </c>
      <c r="J88" s="119">
        <v>210</v>
      </c>
      <c r="K88" s="121">
        <v>28241</v>
      </c>
      <c r="L88" s="119">
        <v>4555</v>
      </c>
      <c r="M88" s="121">
        <v>15107979</v>
      </c>
      <c r="N88" s="14" t="s">
        <v>96</v>
      </c>
    </row>
    <row r="89" spans="1:14" ht="15.75" customHeight="1">
      <c r="A89" s="13" t="s">
        <v>97</v>
      </c>
      <c r="B89" s="119">
        <f>_xlfn.COMPOUNDVALUE(629)</f>
        <v>1070</v>
      </c>
      <c r="C89" s="120">
        <v>5015540</v>
      </c>
      <c r="D89" s="119">
        <f>_xlfn.COMPOUNDVALUE(630)</f>
        <v>249</v>
      </c>
      <c r="E89" s="120">
        <v>151613</v>
      </c>
      <c r="F89" s="119">
        <f>_xlfn.COMPOUNDVALUE(631)</f>
        <v>1319</v>
      </c>
      <c r="G89" s="120">
        <v>5167153</v>
      </c>
      <c r="H89" s="119">
        <f>_xlfn.COMPOUNDVALUE(632)</f>
        <v>65</v>
      </c>
      <c r="I89" s="121">
        <v>351971</v>
      </c>
      <c r="J89" s="119">
        <v>100</v>
      </c>
      <c r="K89" s="121">
        <v>29290</v>
      </c>
      <c r="L89" s="119">
        <v>1394</v>
      </c>
      <c r="M89" s="121">
        <v>4844472</v>
      </c>
      <c r="N89" s="14" t="s">
        <v>97</v>
      </c>
    </row>
    <row r="90" spans="1:14" ht="15.75" customHeight="1">
      <c r="A90" s="13" t="s">
        <v>98</v>
      </c>
      <c r="B90" s="119">
        <f>_xlfn.COMPOUNDVALUE(633)</f>
        <v>481</v>
      </c>
      <c r="C90" s="120">
        <v>1873257</v>
      </c>
      <c r="D90" s="119">
        <f>_xlfn.COMPOUNDVALUE(634)</f>
        <v>104</v>
      </c>
      <c r="E90" s="120">
        <v>53809</v>
      </c>
      <c r="F90" s="119">
        <f>_xlfn.COMPOUNDVALUE(635)</f>
        <v>585</v>
      </c>
      <c r="G90" s="120">
        <v>1927065</v>
      </c>
      <c r="H90" s="119">
        <f>_xlfn.COMPOUNDVALUE(636)</f>
        <v>28</v>
      </c>
      <c r="I90" s="121">
        <v>293647</v>
      </c>
      <c r="J90" s="119">
        <v>39</v>
      </c>
      <c r="K90" s="121">
        <v>9365</v>
      </c>
      <c r="L90" s="119">
        <v>620</v>
      </c>
      <c r="M90" s="121">
        <v>1642783</v>
      </c>
      <c r="N90" s="14" t="s">
        <v>98</v>
      </c>
    </row>
    <row r="91" spans="1:14" ht="15.75" customHeight="1">
      <c r="A91" s="15" t="s">
        <v>169</v>
      </c>
      <c r="B91" s="124">
        <v>9084</v>
      </c>
      <c r="C91" s="125">
        <v>46923385</v>
      </c>
      <c r="D91" s="124">
        <v>2949</v>
      </c>
      <c r="E91" s="125">
        <v>1737461</v>
      </c>
      <c r="F91" s="124">
        <v>12033</v>
      </c>
      <c r="G91" s="125">
        <v>48660846</v>
      </c>
      <c r="H91" s="124">
        <v>962</v>
      </c>
      <c r="I91" s="126">
        <v>8249526</v>
      </c>
      <c r="J91" s="124">
        <v>855</v>
      </c>
      <c r="K91" s="126">
        <v>153588</v>
      </c>
      <c r="L91" s="124">
        <v>13098</v>
      </c>
      <c r="M91" s="126">
        <v>40564908</v>
      </c>
      <c r="N91" s="16" t="s">
        <v>127</v>
      </c>
    </row>
    <row r="92" spans="1:14" ht="15.75" customHeight="1">
      <c r="A92" s="23"/>
      <c r="B92" s="129"/>
      <c r="C92" s="130"/>
      <c r="D92" s="129"/>
      <c r="E92" s="130"/>
      <c r="F92" s="131"/>
      <c r="G92" s="130"/>
      <c r="H92" s="131"/>
      <c r="I92" s="130"/>
      <c r="J92" s="131"/>
      <c r="K92" s="130"/>
      <c r="L92" s="131"/>
      <c r="M92" s="130"/>
      <c r="N92" s="24"/>
    </row>
    <row r="93" spans="1:14" ht="15.75" customHeight="1">
      <c r="A93" s="11" t="s">
        <v>100</v>
      </c>
      <c r="B93" s="114">
        <f>_xlfn.COMPOUNDVALUE(637)</f>
        <v>3622</v>
      </c>
      <c r="C93" s="115">
        <v>26781643</v>
      </c>
      <c r="D93" s="114">
        <f>_xlfn.COMPOUNDVALUE(638)</f>
        <v>1210</v>
      </c>
      <c r="E93" s="115">
        <v>727365</v>
      </c>
      <c r="F93" s="114">
        <f>_xlfn.COMPOUNDVALUE(639)</f>
        <v>4832</v>
      </c>
      <c r="G93" s="115">
        <v>27509008</v>
      </c>
      <c r="H93" s="114">
        <f>_xlfn.COMPOUNDVALUE(640)</f>
        <v>212</v>
      </c>
      <c r="I93" s="116">
        <v>1897649</v>
      </c>
      <c r="J93" s="114">
        <v>320</v>
      </c>
      <c r="K93" s="116">
        <v>51536</v>
      </c>
      <c r="L93" s="114">
        <v>5080</v>
      </c>
      <c r="M93" s="116">
        <v>25662895</v>
      </c>
      <c r="N93" s="25" t="s">
        <v>100</v>
      </c>
    </row>
    <row r="94" spans="1:14" ht="15.75" customHeight="1">
      <c r="A94" s="13" t="s">
        <v>101</v>
      </c>
      <c r="B94" s="119">
        <f>_xlfn.COMPOUNDVALUE(641)</f>
        <v>616</v>
      </c>
      <c r="C94" s="120">
        <v>3411656</v>
      </c>
      <c r="D94" s="119">
        <f>_xlfn.COMPOUNDVALUE(642)</f>
        <v>175</v>
      </c>
      <c r="E94" s="120">
        <v>91261</v>
      </c>
      <c r="F94" s="119">
        <f>_xlfn.COMPOUNDVALUE(643)</f>
        <v>791</v>
      </c>
      <c r="G94" s="120">
        <v>3502917</v>
      </c>
      <c r="H94" s="119">
        <f>_xlfn.COMPOUNDVALUE(644)</f>
        <v>37</v>
      </c>
      <c r="I94" s="121">
        <v>119384</v>
      </c>
      <c r="J94" s="119">
        <v>50</v>
      </c>
      <c r="K94" s="121">
        <v>3016</v>
      </c>
      <c r="L94" s="119">
        <v>830</v>
      </c>
      <c r="M94" s="121">
        <v>3386549</v>
      </c>
      <c r="N94" s="14" t="s">
        <v>101</v>
      </c>
    </row>
    <row r="95" spans="1:14" ht="15.75" customHeight="1">
      <c r="A95" s="13" t="s">
        <v>102</v>
      </c>
      <c r="B95" s="119">
        <f>_xlfn.COMPOUNDVALUE(645)</f>
        <v>638</v>
      </c>
      <c r="C95" s="120">
        <v>2820642</v>
      </c>
      <c r="D95" s="119">
        <f>_xlfn.COMPOUNDVALUE(646)</f>
        <v>189</v>
      </c>
      <c r="E95" s="120">
        <v>116520</v>
      </c>
      <c r="F95" s="119">
        <f>_xlfn.COMPOUNDVALUE(647)</f>
        <v>827</v>
      </c>
      <c r="G95" s="120">
        <v>2937163</v>
      </c>
      <c r="H95" s="119">
        <f>_xlfn.COMPOUNDVALUE(648)</f>
        <v>43</v>
      </c>
      <c r="I95" s="121">
        <v>137368</v>
      </c>
      <c r="J95" s="119">
        <v>56</v>
      </c>
      <c r="K95" s="121">
        <v>6512</v>
      </c>
      <c r="L95" s="119">
        <v>873</v>
      </c>
      <c r="M95" s="121">
        <v>2806307</v>
      </c>
      <c r="N95" s="14" t="s">
        <v>102</v>
      </c>
    </row>
    <row r="96" spans="1:14" ht="15.75" customHeight="1">
      <c r="A96" s="13" t="s">
        <v>103</v>
      </c>
      <c r="B96" s="119">
        <f>_xlfn.COMPOUNDVALUE(649)</f>
        <v>1029</v>
      </c>
      <c r="C96" s="120">
        <v>5092269</v>
      </c>
      <c r="D96" s="119">
        <f>_xlfn.COMPOUNDVALUE(650)</f>
        <v>387</v>
      </c>
      <c r="E96" s="120">
        <v>250396</v>
      </c>
      <c r="F96" s="119">
        <f>_xlfn.COMPOUNDVALUE(651)</f>
        <v>1416</v>
      </c>
      <c r="G96" s="120">
        <v>5342664</v>
      </c>
      <c r="H96" s="119">
        <f>_xlfn.COMPOUNDVALUE(652)</f>
        <v>39</v>
      </c>
      <c r="I96" s="121">
        <v>76762</v>
      </c>
      <c r="J96" s="119">
        <v>72</v>
      </c>
      <c r="K96" s="121">
        <v>21004</v>
      </c>
      <c r="L96" s="119">
        <v>1460</v>
      </c>
      <c r="M96" s="121">
        <v>5286906</v>
      </c>
      <c r="N96" s="14" t="s">
        <v>103</v>
      </c>
    </row>
    <row r="97" spans="1:14" ht="15.75" customHeight="1">
      <c r="A97" s="13" t="s">
        <v>104</v>
      </c>
      <c r="B97" s="119">
        <f>_xlfn.COMPOUNDVALUE(653)</f>
        <v>559</v>
      </c>
      <c r="C97" s="120">
        <v>2198592</v>
      </c>
      <c r="D97" s="119">
        <f>_xlfn.COMPOUNDVALUE(654)</f>
        <v>186</v>
      </c>
      <c r="E97" s="120">
        <v>105951</v>
      </c>
      <c r="F97" s="119">
        <f>_xlfn.COMPOUNDVALUE(655)</f>
        <v>745</v>
      </c>
      <c r="G97" s="120">
        <v>2304543</v>
      </c>
      <c r="H97" s="119">
        <f>_xlfn.COMPOUNDVALUE(656)</f>
        <v>32</v>
      </c>
      <c r="I97" s="121">
        <v>212234</v>
      </c>
      <c r="J97" s="119">
        <v>67</v>
      </c>
      <c r="K97" s="121">
        <v>15976</v>
      </c>
      <c r="L97" s="119">
        <v>783</v>
      </c>
      <c r="M97" s="121">
        <v>2108284</v>
      </c>
      <c r="N97" s="14" t="s">
        <v>104</v>
      </c>
    </row>
    <row r="98" spans="1:14" ht="15.75" customHeight="1">
      <c r="A98" s="13" t="s">
        <v>105</v>
      </c>
      <c r="B98" s="119">
        <f>_xlfn.COMPOUNDVALUE(657)</f>
        <v>1204</v>
      </c>
      <c r="C98" s="120">
        <v>6041782</v>
      </c>
      <c r="D98" s="119">
        <f>_xlfn.COMPOUNDVALUE(658)</f>
        <v>367</v>
      </c>
      <c r="E98" s="120">
        <v>246565</v>
      </c>
      <c r="F98" s="119">
        <f>_xlfn.COMPOUNDVALUE(659)</f>
        <v>1571</v>
      </c>
      <c r="G98" s="120">
        <v>6288347</v>
      </c>
      <c r="H98" s="119">
        <f>_xlfn.COMPOUNDVALUE(660)</f>
        <v>78</v>
      </c>
      <c r="I98" s="121">
        <v>497639</v>
      </c>
      <c r="J98" s="119">
        <v>62</v>
      </c>
      <c r="K98" s="121">
        <v>8881</v>
      </c>
      <c r="L98" s="119">
        <v>1653</v>
      </c>
      <c r="M98" s="121">
        <v>5799589</v>
      </c>
      <c r="N98" s="14" t="s">
        <v>105</v>
      </c>
    </row>
    <row r="99" spans="1:14" ht="15.75" customHeight="1">
      <c r="A99" s="13" t="s">
        <v>106</v>
      </c>
      <c r="B99" s="119">
        <f>_xlfn.COMPOUNDVALUE(661)</f>
        <v>565</v>
      </c>
      <c r="C99" s="120">
        <v>3673684</v>
      </c>
      <c r="D99" s="119">
        <f>_xlfn.COMPOUNDVALUE(662)</f>
        <v>177</v>
      </c>
      <c r="E99" s="120">
        <v>129337</v>
      </c>
      <c r="F99" s="119">
        <f>_xlfn.COMPOUNDVALUE(663)</f>
        <v>742</v>
      </c>
      <c r="G99" s="120">
        <v>3803021</v>
      </c>
      <c r="H99" s="119">
        <f>_xlfn.COMPOUNDVALUE(664)</f>
        <v>30</v>
      </c>
      <c r="I99" s="121">
        <v>88402</v>
      </c>
      <c r="J99" s="119">
        <v>49</v>
      </c>
      <c r="K99" s="121">
        <v>12133</v>
      </c>
      <c r="L99" s="119">
        <v>773</v>
      </c>
      <c r="M99" s="121">
        <v>3726752</v>
      </c>
      <c r="N99" s="14" t="s">
        <v>106</v>
      </c>
    </row>
    <row r="100" spans="1:14" ht="15.75" customHeight="1">
      <c r="A100" s="15" t="s">
        <v>170</v>
      </c>
      <c r="B100" s="124">
        <v>8233</v>
      </c>
      <c r="C100" s="125">
        <v>50020268</v>
      </c>
      <c r="D100" s="124">
        <v>2691</v>
      </c>
      <c r="E100" s="125">
        <v>1667396</v>
      </c>
      <c r="F100" s="124">
        <v>10924</v>
      </c>
      <c r="G100" s="125">
        <v>51687663</v>
      </c>
      <c r="H100" s="124">
        <v>471</v>
      </c>
      <c r="I100" s="126">
        <v>3029438</v>
      </c>
      <c r="J100" s="124">
        <v>676</v>
      </c>
      <c r="K100" s="126">
        <v>119057</v>
      </c>
      <c r="L100" s="124">
        <v>11452</v>
      </c>
      <c r="M100" s="126">
        <v>48777282</v>
      </c>
      <c r="N100" s="16" t="s">
        <v>128</v>
      </c>
    </row>
    <row r="101" spans="1:14" ht="15.75" customHeight="1" thickBot="1">
      <c r="A101" s="18"/>
      <c r="B101" s="144"/>
      <c r="C101" s="145"/>
      <c r="D101" s="144"/>
      <c r="E101" s="145"/>
      <c r="F101" s="146"/>
      <c r="G101" s="145"/>
      <c r="H101" s="146"/>
      <c r="I101" s="145"/>
      <c r="J101" s="146"/>
      <c r="K101" s="145"/>
      <c r="L101" s="146"/>
      <c r="M101" s="145"/>
      <c r="N101" s="19"/>
    </row>
    <row r="102" spans="1:14" ht="15.75" customHeight="1" thickBot="1" thickTop="1">
      <c r="A102" s="21" t="s">
        <v>171</v>
      </c>
      <c r="B102" s="147">
        <v>214962</v>
      </c>
      <c r="C102" s="148">
        <v>2106328774</v>
      </c>
      <c r="D102" s="147">
        <v>68476</v>
      </c>
      <c r="E102" s="148">
        <v>41656304</v>
      </c>
      <c r="F102" s="147">
        <v>283438</v>
      </c>
      <c r="G102" s="148">
        <v>2147985077</v>
      </c>
      <c r="H102" s="147">
        <v>25727</v>
      </c>
      <c r="I102" s="149">
        <v>536553648</v>
      </c>
      <c r="J102" s="147">
        <v>18220</v>
      </c>
      <c r="K102" s="149">
        <v>3778460</v>
      </c>
      <c r="L102" s="147">
        <v>311207</v>
      </c>
      <c r="M102" s="149">
        <v>1615209889</v>
      </c>
      <c r="N102" s="22" t="s">
        <v>121</v>
      </c>
    </row>
    <row r="103" spans="1:14" ht="13.5">
      <c r="A103" s="193" t="s">
        <v>177</v>
      </c>
      <c r="B103" s="193"/>
      <c r="C103" s="193"/>
      <c r="D103" s="193"/>
      <c r="E103" s="193"/>
      <c r="F103" s="193"/>
      <c r="G103" s="193"/>
      <c r="H103" s="193"/>
      <c r="I103" s="193"/>
      <c r="J103" s="27"/>
      <c r="K103" s="27"/>
      <c r="L103" s="2"/>
      <c r="M103" s="2"/>
      <c r="N103" s="2"/>
    </row>
  </sheetData>
  <sheetProtection/>
  <mergeCells count="11">
    <mergeCell ref="N3:N5"/>
    <mergeCell ref="B4:C4"/>
    <mergeCell ref="D4:E4"/>
    <mergeCell ref="F4:G4"/>
    <mergeCell ref="J3:K4"/>
    <mergeCell ref="L3:M4"/>
    <mergeCell ref="A103:I103"/>
    <mergeCell ref="A2:I2"/>
    <mergeCell ref="A3:A5"/>
    <mergeCell ref="B3:G3"/>
    <mergeCell ref="H3:I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81" r:id="rId1"/>
  <headerFooter alignWithMargins="0">
    <oddFooter>&amp;R大阪国税局
消費税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103"/>
  <sheetViews>
    <sheetView view="pageBreakPreview" zoomScale="80" zoomScaleSheetLayoutView="80" zoomScalePageLayoutView="0" workbookViewId="0" topLeftCell="A1">
      <selection activeCell="A1" sqref="A1"/>
    </sheetView>
  </sheetViews>
  <sheetFormatPr defaultColWidth="9.140625" defaultRowHeight="15"/>
  <cols>
    <col min="1" max="1" width="10.421875" style="3" customWidth="1"/>
    <col min="2" max="2" width="9.57421875" style="3" customWidth="1"/>
    <col min="3" max="3" width="12.57421875" style="3" customWidth="1"/>
    <col min="4" max="4" width="9.57421875" style="3" customWidth="1"/>
    <col min="5" max="5" width="12.57421875" style="3" customWidth="1"/>
    <col min="6" max="6" width="9.57421875" style="3" customWidth="1"/>
    <col min="7" max="7" width="12.57421875" style="3" customWidth="1"/>
    <col min="8" max="8" width="9.57421875" style="3" customWidth="1"/>
    <col min="9" max="9" width="12.57421875" style="3" customWidth="1"/>
    <col min="10" max="10" width="9.57421875" style="3" customWidth="1"/>
    <col min="11" max="11" width="12.57421875" style="3" customWidth="1"/>
    <col min="12" max="12" width="9.57421875" style="3" customWidth="1"/>
    <col min="13" max="13" width="12.57421875" style="3" customWidth="1"/>
    <col min="14" max="17" width="9.57421875" style="3" customWidth="1"/>
    <col min="18" max="18" width="10.421875" style="3" customWidth="1"/>
    <col min="19" max="16384" width="9.00390625" style="3" customWidth="1"/>
  </cols>
  <sheetData>
    <row r="1" spans="1:16" ht="13.5">
      <c r="A1" s="1" t="s">
        <v>108</v>
      </c>
      <c r="B1" s="1"/>
      <c r="C1" s="1"/>
      <c r="D1" s="1"/>
      <c r="E1" s="1"/>
      <c r="F1" s="1"/>
      <c r="G1" s="1"/>
      <c r="H1" s="1"/>
      <c r="I1" s="1"/>
      <c r="J1" s="1"/>
      <c r="K1" s="1"/>
      <c r="L1" s="2"/>
      <c r="M1" s="2"/>
      <c r="N1" s="2"/>
      <c r="O1" s="2"/>
      <c r="P1" s="2"/>
    </row>
    <row r="2" spans="1:16" ht="14.25" thickBot="1">
      <c r="A2" s="209" t="s">
        <v>112</v>
      </c>
      <c r="B2" s="209"/>
      <c r="C2" s="209"/>
      <c r="D2" s="209"/>
      <c r="E2" s="209"/>
      <c r="F2" s="209"/>
      <c r="G2" s="209"/>
      <c r="H2" s="209"/>
      <c r="I2" s="209"/>
      <c r="J2" s="27"/>
      <c r="K2" s="27"/>
      <c r="L2" s="2"/>
      <c r="M2" s="2"/>
      <c r="N2" s="2"/>
      <c r="O2" s="2"/>
      <c r="P2" s="2"/>
    </row>
    <row r="3" spans="1:18" ht="19.5" customHeight="1">
      <c r="A3" s="199" t="s">
        <v>2</v>
      </c>
      <c r="B3" s="202" t="s">
        <v>3</v>
      </c>
      <c r="C3" s="202"/>
      <c r="D3" s="202"/>
      <c r="E3" s="202"/>
      <c r="F3" s="202"/>
      <c r="G3" s="202"/>
      <c r="H3" s="202" t="s">
        <v>4</v>
      </c>
      <c r="I3" s="202"/>
      <c r="J3" s="215" t="s">
        <v>5</v>
      </c>
      <c r="K3" s="202"/>
      <c r="L3" s="202" t="s">
        <v>6</v>
      </c>
      <c r="M3" s="202"/>
      <c r="N3" s="216" t="s">
        <v>113</v>
      </c>
      <c r="O3" s="217"/>
      <c r="P3" s="217"/>
      <c r="Q3" s="217"/>
      <c r="R3" s="203" t="s">
        <v>110</v>
      </c>
    </row>
    <row r="4" spans="1:18" ht="17.25" customHeight="1">
      <c r="A4" s="200"/>
      <c r="B4" s="206" t="s">
        <v>8</v>
      </c>
      <c r="C4" s="206"/>
      <c r="D4" s="206" t="s">
        <v>9</v>
      </c>
      <c r="E4" s="206"/>
      <c r="F4" s="206" t="s">
        <v>10</v>
      </c>
      <c r="G4" s="206"/>
      <c r="H4" s="206"/>
      <c r="I4" s="206"/>
      <c r="J4" s="206"/>
      <c r="K4" s="206"/>
      <c r="L4" s="206"/>
      <c r="M4" s="206"/>
      <c r="N4" s="218" t="s">
        <v>114</v>
      </c>
      <c r="O4" s="210" t="s">
        <v>115</v>
      </c>
      <c r="P4" s="212" t="s">
        <v>116</v>
      </c>
      <c r="Q4" s="198" t="s">
        <v>117</v>
      </c>
      <c r="R4" s="204"/>
    </row>
    <row r="5" spans="1:18" ht="28.5" customHeight="1">
      <c r="A5" s="201"/>
      <c r="B5" s="37" t="s">
        <v>11</v>
      </c>
      <c r="C5" s="38" t="s">
        <v>12</v>
      </c>
      <c r="D5" s="37" t="s">
        <v>11</v>
      </c>
      <c r="E5" s="38" t="s">
        <v>12</v>
      </c>
      <c r="F5" s="37" t="s">
        <v>11</v>
      </c>
      <c r="G5" s="38" t="s">
        <v>13</v>
      </c>
      <c r="H5" s="37" t="s">
        <v>11</v>
      </c>
      <c r="I5" s="38" t="s">
        <v>14</v>
      </c>
      <c r="J5" s="37" t="s">
        <v>11</v>
      </c>
      <c r="K5" s="38" t="s">
        <v>15</v>
      </c>
      <c r="L5" s="37" t="s">
        <v>11</v>
      </c>
      <c r="M5" s="31" t="s">
        <v>120</v>
      </c>
      <c r="N5" s="219"/>
      <c r="O5" s="211"/>
      <c r="P5" s="213"/>
      <c r="Q5" s="214"/>
      <c r="R5" s="205"/>
    </row>
    <row r="6" spans="1:18" s="29" customFormat="1" ht="12" customHeight="1">
      <c r="A6" s="5"/>
      <c r="B6" s="6" t="s">
        <v>16</v>
      </c>
      <c r="C6" s="7" t="s">
        <v>17</v>
      </c>
      <c r="D6" s="6" t="s">
        <v>16</v>
      </c>
      <c r="E6" s="7" t="s">
        <v>17</v>
      </c>
      <c r="F6" s="6" t="s">
        <v>16</v>
      </c>
      <c r="G6" s="7" t="s">
        <v>17</v>
      </c>
      <c r="H6" s="6" t="s">
        <v>16</v>
      </c>
      <c r="I6" s="7" t="s">
        <v>17</v>
      </c>
      <c r="J6" s="6" t="s">
        <v>16</v>
      </c>
      <c r="K6" s="7" t="s">
        <v>17</v>
      </c>
      <c r="L6" s="6" t="s">
        <v>16</v>
      </c>
      <c r="M6" s="7" t="s">
        <v>17</v>
      </c>
      <c r="N6" s="6" t="s">
        <v>16</v>
      </c>
      <c r="O6" s="32" t="s">
        <v>16</v>
      </c>
      <c r="P6" s="32" t="s">
        <v>16</v>
      </c>
      <c r="Q6" s="33" t="s">
        <v>16</v>
      </c>
      <c r="R6" s="9"/>
    </row>
    <row r="7" spans="1:18" ht="18.75" customHeight="1">
      <c r="A7" s="11" t="s">
        <v>19</v>
      </c>
      <c r="B7" s="114">
        <f>_xlfn.COMPOUNDVALUE(665)</f>
        <v>3509</v>
      </c>
      <c r="C7" s="115">
        <v>15129916</v>
      </c>
      <c r="D7" s="114">
        <f>_xlfn.COMPOUNDVALUE(666)</f>
        <v>2118</v>
      </c>
      <c r="E7" s="115">
        <v>1055638</v>
      </c>
      <c r="F7" s="114">
        <f>_xlfn.COMPOUNDVALUE(667)</f>
        <v>5627</v>
      </c>
      <c r="G7" s="115">
        <v>16185553</v>
      </c>
      <c r="H7" s="114">
        <f>_xlfn.COMPOUNDVALUE(668)</f>
        <v>278</v>
      </c>
      <c r="I7" s="116">
        <v>7287621</v>
      </c>
      <c r="J7" s="114">
        <v>394</v>
      </c>
      <c r="K7" s="116">
        <v>98415</v>
      </c>
      <c r="L7" s="114">
        <v>5985</v>
      </c>
      <c r="M7" s="116">
        <v>8996347</v>
      </c>
      <c r="N7" s="114">
        <v>6344</v>
      </c>
      <c r="O7" s="117">
        <v>183</v>
      </c>
      <c r="P7" s="117">
        <v>24</v>
      </c>
      <c r="Q7" s="118">
        <v>6551</v>
      </c>
      <c r="R7" s="12" t="s">
        <v>19</v>
      </c>
    </row>
    <row r="8" spans="1:18" ht="18.75" customHeight="1">
      <c r="A8" s="13" t="s">
        <v>20</v>
      </c>
      <c r="B8" s="119">
        <f>_xlfn.COMPOUNDVALUE(669)</f>
        <v>1952</v>
      </c>
      <c r="C8" s="120">
        <v>13399782</v>
      </c>
      <c r="D8" s="119">
        <f>_xlfn.COMPOUNDVALUE(670)</f>
        <v>1149</v>
      </c>
      <c r="E8" s="120">
        <v>535157</v>
      </c>
      <c r="F8" s="119">
        <f>_xlfn.COMPOUNDVALUE(671)</f>
        <v>3101</v>
      </c>
      <c r="G8" s="120">
        <v>13934938</v>
      </c>
      <c r="H8" s="119">
        <f>_xlfn.COMPOUNDVALUE(672)</f>
        <v>176</v>
      </c>
      <c r="I8" s="121">
        <v>2940549</v>
      </c>
      <c r="J8" s="119">
        <v>144</v>
      </c>
      <c r="K8" s="121">
        <v>93049</v>
      </c>
      <c r="L8" s="119">
        <v>3315</v>
      </c>
      <c r="M8" s="121">
        <v>11087438</v>
      </c>
      <c r="N8" s="119">
        <v>3393</v>
      </c>
      <c r="O8" s="122">
        <v>106</v>
      </c>
      <c r="P8" s="122">
        <v>11</v>
      </c>
      <c r="Q8" s="123">
        <v>3510</v>
      </c>
      <c r="R8" s="14" t="s">
        <v>20</v>
      </c>
    </row>
    <row r="9" spans="1:18" ht="18.75" customHeight="1">
      <c r="A9" s="13" t="s">
        <v>21</v>
      </c>
      <c r="B9" s="119">
        <f>_xlfn.COMPOUNDVALUE(673)</f>
        <v>2156</v>
      </c>
      <c r="C9" s="120">
        <v>8937881</v>
      </c>
      <c r="D9" s="119">
        <f>_xlfn.COMPOUNDVALUE(674)</f>
        <v>1186</v>
      </c>
      <c r="E9" s="120">
        <v>546175</v>
      </c>
      <c r="F9" s="119">
        <f>_xlfn.COMPOUNDVALUE(675)</f>
        <v>3342</v>
      </c>
      <c r="G9" s="120">
        <v>9484056</v>
      </c>
      <c r="H9" s="119">
        <f>_xlfn.COMPOUNDVALUE(676)</f>
        <v>140</v>
      </c>
      <c r="I9" s="121">
        <v>324444</v>
      </c>
      <c r="J9" s="119">
        <v>156</v>
      </c>
      <c r="K9" s="121">
        <v>23794</v>
      </c>
      <c r="L9" s="119">
        <v>3520</v>
      </c>
      <c r="M9" s="121">
        <v>9183406</v>
      </c>
      <c r="N9" s="119">
        <v>3723</v>
      </c>
      <c r="O9" s="122">
        <v>111</v>
      </c>
      <c r="P9" s="122">
        <v>17</v>
      </c>
      <c r="Q9" s="123">
        <v>3851</v>
      </c>
      <c r="R9" s="14" t="s">
        <v>21</v>
      </c>
    </row>
    <row r="10" spans="1:18" ht="18.75" customHeight="1">
      <c r="A10" s="13" t="s">
        <v>22</v>
      </c>
      <c r="B10" s="119">
        <f>_xlfn.COMPOUNDVALUE(677)</f>
        <v>2740</v>
      </c>
      <c r="C10" s="120">
        <v>9801410</v>
      </c>
      <c r="D10" s="119">
        <f>_xlfn.COMPOUNDVALUE(678)</f>
        <v>1736</v>
      </c>
      <c r="E10" s="120">
        <v>781845</v>
      </c>
      <c r="F10" s="119">
        <f>_xlfn.COMPOUNDVALUE(679)</f>
        <v>4476</v>
      </c>
      <c r="G10" s="120">
        <v>10583255</v>
      </c>
      <c r="H10" s="119">
        <f>_xlfn.COMPOUNDVALUE(680)</f>
        <v>305</v>
      </c>
      <c r="I10" s="121">
        <v>1212539</v>
      </c>
      <c r="J10" s="119">
        <v>298</v>
      </c>
      <c r="K10" s="121">
        <v>14326</v>
      </c>
      <c r="L10" s="119">
        <v>4846</v>
      </c>
      <c r="M10" s="121">
        <v>9385041</v>
      </c>
      <c r="N10" s="119">
        <v>4747</v>
      </c>
      <c r="O10" s="122">
        <v>193</v>
      </c>
      <c r="P10" s="122">
        <v>19</v>
      </c>
      <c r="Q10" s="123">
        <v>4959</v>
      </c>
      <c r="R10" s="14" t="s">
        <v>22</v>
      </c>
    </row>
    <row r="11" spans="1:18" ht="18.75" customHeight="1">
      <c r="A11" s="13" t="s">
        <v>23</v>
      </c>
      <c r="B11" s="119">
        <f>_xlfn.COMPOUNDVALUE(681)</f>
        <v>3574</v>
      </c>
      <c r="C11" s="120">
        <v>16921428</v>
      </c>
      <c r="D11" s="119">
        <f>_xlfn.COMPOUNDVALUE(682)</f>
        <v>2122</v>
      </c>
      <c r="E11" s="120">
        <v>1094531</v>
      </c>
      <c r="F11" s="119">
        <f>_xlfn.COMPOUNDVALUE(683)</f>
        <v>5696</v>
      </c>
      <c r="G11" s="120">
        <v>18015959</v>
      </c>
      <c r="H11" s="119">
        <f>_xlfn.COMPOUNDVALUE(684)</f>
        <v>307</v>
      </c>
      <c r="I11" s="121">
        <v>2269661</v>
      </c>
      <c r="J11" s="119">
        <v>327</v>
      </c>
      <c r="K11" s="121">
        <v>99162</v>
      </c>
      <c r="L11" s="119">
        <v>6140</v>
      </c>
      <c r="M11" s="121">
        <v>15845460</v>
      </c>
      <c r="N11" s="119">
        <v>6495</v>
      </c>
      <c r="O11" s="122">
        <v>158</v>
      </c>
      <c r="P11" s="122">
        <v>18</v>
      </c>
      <c r="Q11" s="123">
        <v>6671</v>
      </c>
      <c r="R11" s="14" t="s">
        <v>23</v>
      </c>
    </row>
    <row r="12" spans="1:18" ht="18.75" customHeight="1">
      <c r="A12" s="13" t="s">
        <v>24</v>
      </c>
      <c r="B12" s="119">
        <f>_xlfn.COMPOUNDVALUE(685)</f>
        <v>1783</v>
      </c>
      <c r="C12" s="120">
        <v>10242084</v>
      </c>
      <c r="D12" s="119">
        <f>_xlfn.COMPOUNDVALUE(686)</f>
        <v>993</v>
      </c>
      <c r="E12" s="120">
        <v>445603</v>
      </c>
      <c r="F12" s="119">
        <f>_xlfn.COMPOUNDVALUE(687)</f>
        <v>2776</v>
      </c>
      <c r="G12" s="120">
        <v>10687687</v>
      </c>
      <c r="H12" s="119">
        <f>_xlfn.COMPOUNDVALUE(688)</f>
        <v>126</v>
      </c>
      <c r="I12" s="121">
        <v>327757</v>
      </c>
      <c r="J12" s="119">
        <v>224</v>
      </c>
      <c r="K12" s="121">
        <v>12510</v>
      </c>
      <c r="L12" s="119">
        <v>2992</v>
      </c>
      <c r="M12" s="121">
        <v>10372440</v>
      </c>
      <c r="N12" s="119">
        <v>2945</v>
      </c>
      <c r="O12" s="122">
        <v>94</v>
      </c>
      <c r="P12" s="122">
        <v>9</v>
      </c>
      <c r="Q12" s="123">
        <v>3048</v>
      </c>
      <c r="R12" s="14" t="s">
        <v>24</v>
      </c>
    </row>
    <row r="13" spans="1:18" ht="18.75" customHeight="1">
      <c r="A13" s="13" t="s">
        <v>25</v>
      </c>
      <c r="B13" s="119">
        <f>_xlfn.COMPOUNDVALUE(689)</f>
        <v>803</v>
      </c>
      <c r="C13" s="120">
        <v>2589787</v>
      </c>
      <c r="D13" s="119">
        <f>_xlfn.COMPOUNDVALUE(690)</f>
        <v>494</v>
      </c>
      <c r="E13" s="120">
        <v>216121</v>
      </c>
      <c r="F13" s="119">
        <f>_xlfn.COMPOUNDVALUE(691)</f>
        <v>1297</v>
      </c>
      <c r="G13" s="120">
        <v>2805908</v>
      </c>
      <c r="H13" s="119">
        <f>_xlfn.COMPOUNDVALUE(692)</f>
        <v>63</v>
      </c>
      <c r="I13" s="121">
        <v>506142</v>
      </c>
      <c r="J13" s="119">
        <v>78</v>
      </c>
      <c r="K13" s="121">
        <v>4365</v>
      </c>
      <c r="L13" s="119">
        <v>1370</v>
      </c>
      <c r="M13" s="121">
        <v>2304132</v>
      </c>
      <c r="N13" s="119">
        <v>1363</v>
      </c>
      <c r="O13" s="122">
        <v>27</v>
      </c>
      <c r="P13" s="122">
        <v>0</v>
      </c>
      <c r="Q13" s="123">
        <v>1390</v>
      </c>
      <c r="R13" s="14" t="s">
        <v>25</v>
      </c>
    </row>
    <row r="14" spans="1:18" ht="18.75" customHeight="1">
      <c r="A14" s="15" t="s">
        <v>26</v>
      </c>
      <c r="B14" s="124">
        <v>16517</v>
      </c>
      <c r="C14" s="125">
        <v>77022287</v>
      </c>
      <c r="D14" s="124">
        <v>9798</v>
      </c>
      <c r="E14" s="125">
        <v>4675070</v>
      </c>
      <c r="F14" s="124">
        <v>26315</v>
      </c>
      <c r="G14" s="125">
        <v>81697357</v>
      </c>
      <c r="H14" s="124">
        <v>1395</v>
      </c>
      <c r="I14" s="126">
        <v>14868714</v>
      </c>
      <c r="J14" s="124">
        <v>1621</v>
      </c>
      <c r="K14" s="126">
        <v>345621</v>
      </c>
      <c r="L14" s="124">
        <v>28168</v>
      </c>
      <c r="M14" s="126">
        <v>67174264</v>
      </c>
      <c r="N14" s="124">
        <v>29010</v>
      </c>
      <c r="O14" s="127">
        <v>872</v>
      </c>
      <c r="P14" s="127">
        <v>98</v>
      </c>
      <c r="Q14" s="128">
        <v>29980</v>
      </c>
      <c r="R14" s="16" t="s">
        <v>123</v>
      </c>
    </row>
    <row r="15" spans="1:18" ht="18.75" customHeight="1">
      <c r="A15" s="26"/>
      <c r="B15" s="129"/>
      <c r="C15" s="130"/>
      <c r="D15" s="129"/>
      <c r="E15" s="130"/>
      <c r="F15" s="131"/>
      <c r="G15" s="130"/>
      <c r="H15" s="131"/>
      <c r="I15" s="130"/>
      <c r="J15" s="131"/>
      <c r="K15" s="130"/>
      <c r="L15" s="131"/>
      <c r="M15" s="130"/>
      <c r="N15" s="132"/>
      <c r="O15" s="133"/>
      <c r="P15" s="133"/>
      <c r="Q15" s="134"/>
      <c r="R15" s="36" t="s">
        <v>122</v>
      </c>
    </row>
    <row r="16" spans="1:18" ht="18.75" customHeight="1">
      <c r="A16" s="11" t="s">
        <v>27</v>
      </c>
      <c r="B16" s="114">
        <f>_xlfn.COMPOUNDVALUE(693)</f>
        <v>3363</v>
      </c>
      <c r="C16" s="115">
        <v>18020420</v>
      </c>
      <c r="D16" s="114">
        <f>_xlfn.COMPOUNDVALUE(694)</f>
        <v>2312</v>
      </c>
      <c r="E16" s="115">
        <v>1060132</v>
      </c>
      <c r="F16" s="114">
        <f>_xlfn.COMPOUNDVALUE(695)</f>
        <v>5675</v>
      </c>
      <c r="G16" s="115">
        <v>19080552</v>
      </c>
      <c r="H16" s="114">
        <f>_xlfn.COMPOUNDVALUE(696)</f>
        <v>281</v>
      </c>
      <c r="I16" s="116">
        <v>7385808</v>
      </c>
      <c r="J16" s="114">
        <v>216</v>
      </c>
      <c r="K16" s="116">
        <v>27611</v>
      </c>
      <c r="L16" s="114">
        <v>6017</v>
      </c>
      <c r="M16" s="116">
        <v>11722355</v>
      </c>
      <c r="N16" s="114">
        <v>6210</v>
      </c>
      <c r="O16" s="117">
        <v>158</v>
      </c>
      <c r="P16" s="117">
        <v>13</v>
      </c>
      <c r="Q16" s="135">
        <v>6381</v>
      </c>
      <c r="R16" s="14" t="s">
        <v>27</v>
      </c>
    </row>
    <row r="17" spans="1:18" ht="18.75" customHeight="1">
      <c r="A17" s="11" t="s">
        <v>28</v>
      </c>
      <c r="B17" s="114">
        <f>_xlfn.COMPOUNDVALUE(697)</f>
        <v>2377</v>
      </c>
      <c r="C17" s="115">
        <v>8485157</v>
      </c>
      <c r="D17" s="114">
        <f>_xlfn.COMPOUNDVALUE(698)</f>
        <v>1540</v>
      </c>
      <c r="E17" s="115">
        <v>777753</v>
      </c>
      <c r="F17" s="114">
        <f>_xlfn.COMPOUNDVALUE(699)</f>
        <v>3917</v>
      </c>
      <c r="G17" s="115">
        <v>9262910</v>
      </c>
      <c r="H17" s="114">
        <f>_xlfn.COMPOUNDVALUE(700)</f>
        <v>236</v>
      </c>
      <c r="I17" s="116">
        <v>866525</v>
      </c>
      <c r="J17" s="114">
        <v>194</v>
      </c>
      <c r="K17" s="116">
        <v>-287460</v>
      </c>
      <c r="L17" s="114">
        <v>4198</v>
      </c>
      <c r="M17" s="116">
        <v>8108924</v>
      </c>
      <c r="N17" s="119">
        <v>4399</v>
      </c>
      <c r="O17" s="122">
        <v>131</v>
      </c>
      <c r="P17" s="122">
        <v>8</v>
      </c>
      <c r="Q17" s="123">
        <v>4538</v>
      </c>
      <c r="R17" s="14" t="s">
        <v>28</v>
      </c>
    </row>
    <row r="18" spans="1:18" ht="18.75" customHeight="1">
      <c r="A18" s="11" t="s">
        <v>29</v>
      </c>
      <c r="B18" s="114">
        <f>_xlfn.COMPOUNDVALUE(701)</f>
        <v>3733</v>
      </c>
      <c r="C18" s="115">
        <v>26864788</v>
      </c>
      <c r="D18" s="114">
        <f>_xlfn.COMPOUNDVALUE(702)</f>
        <v>2167</v>
      </c>
      <c r="E18" s="115">
        <v>1186552</v>
      </c>
      <c r="F18" s="114">
        <f>_xlfn.COMPOUNDVALUE(703)</f>
        <v>5900</v>
      </c>
      <c r="G18" s="115">
        <v>28051340</v>
      </c>
      <c r="H18" s="114">
        <f>_xlfn.COMPOUNDVALUE(704)</f>
        <v>351</v>
      </c>
      <c r="I18" s="116">
        <v>7456528</v>
      </c>
      <c r="J18" s="114">
        <v>332</v>
      </c>
      <c r="K18" s="116">
        <v>43434</v>
      </c>
      <c r="L18" s="114">
        <v>6323</v>
      </c>
      <c r="M18" s="116">
        <v>20638246</v>
      </c>
      <c r="N18" s="119">
        <v>6774</v>
      </c>
      <c r="O18" s="122">
        <v>171</v>
      </c>
      <c r="P18" s="122">
        <v>46</v>
      </c>
      <c r="Q18" s="123">
        <v>6991</v>
      </c>
      <c r="R18" s="14" t="s">
        <v>29</v>
      </c>
    </row>
    <row r="19" spans="1:18" ht="18.75" customHeight="1">
      <c r="A19" s="11" t="s">
        <v>30</v>
      </c>
      <c r="B19" s="114">
        <f>_xlfn.COMPOUNDVALUE(705)</f>
        <v>3068</v>
      </c>
      <c r="C19" s="115">
        <v>12460593</v>
      </c>
      <c r="D19" s="114">
        <f>_xlfn.COMPOUNDVALUE(706)</f>
        <v>1819</v>
      </c>
      <c r="E19" s="115">
        <v>879561</v>
      </c>
      <c r="F19" s="114">
        <f>_xlfn.COMPOUNDVALUE(707)</f>
        <v>4887</v>
      </c>
      <c r="G19" s="115">
        <v>13340154</v>
      </c>
      <c r="H19" s="114">
        <f>_xlfn.COMPOUNDVALUE(708)</f>
        <v>251</v>
      </c>
      <c r="I19" s="116">
        <v>445318</v>
      </c>
      <c r="J19" s="114">
        <v>276</v>
      </c>
      <c r="K19" s="116">
        <v>19959</v>
      </c>
      <c r="L19" s="114">
        <v>5227</v>
      </c>
      <c r="M19" s="116">
        <v>12914794</v>
      </c>
      <c r="N19" s="119">
        <v>5655</v>
      </c>
      <c r="O19" s="122">
        <v>119</v>
      </c>
      <c r="P19" s="122">
        <v>19</v>
      </c>
      <c r="Q19" s="123">
        <v>5793</v>
      </c>
      <c r="R19" s="14" t="s">
        <v>30</v>
      </c>
    </row>
    <row r="20" spans="1:18" ht="18.75" customHeight="1">
      <c r="A20" s="11" t="s">
        <v>31</v>
      </c>
      <c r="B20" s="114">
        <f>_xlfn.COMPOUNDVALUE(709)</f>
        <v>5564</v>
      </c>
      <c r="C20" s="115">
        <v>76499311</v>
      </c>
      <c r="D20" s="114">
        <f>_xlfn.COMPOUNDVALUE(710)</f>
        <v>2393</v>
      </c>
      <c r="E20" s="115">
        <v>1231094</v>
      </c>
      <c r="F20" s="114">
        <f>_xlfn.COMPOUNDVALUE(711)</f>
        <v>7957</v>
      </c>
      <c r="G20" s="115">
        <v>77730405</v>
      </c>
      <c r="H20" s="114">
        <f>_xlfn.COMPOUNDVALUE(712)</f>
        <v>498</v>
      </c>
      <c r="I20" s="116">
        <v>9970273</v>
      </c>
      <c r="J20" s="114">
        <v>550</v>
      </c>
      <c r="K20" s="116">
        <v>57216</v>
      </c>
      <c r="L20" s="114">
        <v>8516</v>
      </c>
      <c r="M20" s="116">
        <v>67817348</v>
      </c>
      <c r="N20" s="119">
        <v>8912</v>
      </c>
      <c r="O20" s="122">
        <v>218</v>
      </c>
      <c r="P20" s="122">
        <v>64</v>
      </c>
      <c r="Q20" s="123">
        <v>9194</v>
      </c>
      <c r="R20" s="14" t="s">
        <v>31</v>
      </c>
    </row>
    <row r="21" spans="1:18" ht="18.75" customHeight="1">
      <c r="A21" s="11" t="s">
        <v>32</v>
      </c>
      <c r="B21" s="114">
        <f>_xlfn.COMPOUNDVALUE(713)</f>
        <v>5924</v>
      </c>
      <c r="C21" s="115">
        <v>23873715</v>
      </c>
      <c r="D21" s="114">
        <f>_xlfn.COMPOUNDVALUE(714)</f>
        <v>3382</v>
      </c>
      <c r="E21" s="115">
        <v>1621557</v>
      </c>
      <c r="F21" s="114">
        <f>_xlfn.COMPOUNDVALUE(715)</f>
        <v>9306</v>
      </c>
      <c r="G21" s="115">
        <v>25495272</v>
      </c>
      <c r="H21" s="114">
        <f>_xlfn.COMPOUNDVALUE(716)</f>
        <v>459</v>
      </c>
      <c r="I21" s="116">
        <v>51943556</v>
      </c>
      <c r="J21" s="114">
        <v>591</v>
      </c>
      <c r="K21" s="116">
        <v>177911</v>
      </c>
      <c r="L21" s="114">
        <v>9938</v>
      </c>
      <c r="M21" s="116">
        <v>-26270373</v>
      </c>
      <c r="N21" s="119">
        <v>10659</v>
      </c>
      <c r="O21" s="122">
        <v>225</v>
      </c>
      <c r="P21" s="122">
        <v>30</v>
      </c>
      <c r="Q21" s="123">
        <v>10914</v>
      </c>
      <c r="R21" s="14" t="s">
        <v>32</v>
      </c>
    </row>
    <row r="22" spans="1:18" ht="18.75" customHeight="1">
      <c r="A22" s="13" t="s">
        <v>33</v>
      </c>
      <c r="B22" s="119">
        <f>_xlfn.COMPOUNDVALUE(717)</f>
        <v>3632</v>
      </c>
      <c r="C22" s="120">
        <v>22899061</v>
      </c>
      <c r="D22" s="119">
        <f>_xlfn.COMPOUNDVALUE(718)</f>
        <v>1972</v>
      </c>
      <c r="E22" s="120">
        <v>1011760</v>
      </c>
      <c r="F22" s="119">
        <f>_xlfn.COMPOUNDVALUE(719)</f>
        <v>5604</v>
      </c>
      <c r="G22" s="120">
        <v>23910822</v>
      </c>
      <c r="H22" s="119">
        <f>_xlfn.COMPOUNDVALUE(720)</f>
        <v>283</v>
      </c>
      <c r="I22" s="121">
        <v>7431822</v>
      </c>
      <c r="J22" s="119">
        <v>309</v>
      </c>
      <c r="K22" s="121">
        <v>54987</v>
      </c>
      <c r="L22" s="119">
        <v>5987</v>
      </c>
      <c r="M22" s="121">
        <v>16533987</v>
      </c>
      <c r="N22" s="119">
        <v>6590</v>
      </c>
      <c r="O22" s="122">
        <v>161</v>
      </c>
      <c r="P22" s="122">
        <v>18</v>
      </c>
      <c r="Q22" s="123">
        <v>6769</v>
      </c>
      <c r="R22" s="14" t="s">
        <v>33</v>
      </c>
    </row>
    <row r="23" spans="1:18" ht="18.75" customHeight="1">
      <c r="A23" s="13" t="s">
        <v>34</v>
      </c>
      <c r="B23" s="119">
        <f>_xlfn.COMPOUNDVALUE(721)</f>
        <v>1453</v>
      </c>
      <c r="C23" s="120">
        <v>7235347</v>
      </c>
      <c r="D23" s="119">
        <f>_xlfn.COMPOUNDVALUE(722)</f>
        <v>830</v>
      </c>
      <c r="E23" s="120">
        <v>393887</v>
      </c>
      <c r="F23" s="119">
        <f>_xlfn.COMPOUNDVALUE(723)</f>
        <v>2283</v>
      </c>
      <c r="G23" s="120">
        <v>7629234</v>
      </c>
      <c r="H23" s="119">
        <f>_xlfn.COMPOUNDVALUE(724)</f>
        <v>49</v>
      </c>
      <c r="I23" s="121">
        <v>181887</v>
      </c>
      <c r="J23" s="119">
        <v>235</v>
      </c>
      <c r="K23" s="121">
        <v>10720</v>
      </c>
      <c r="L23" s="119">
        <v>2364</v>
      </c>
      <c r="M23" s="121">
        <v>7458067</v>
      </c>
      <c r="N23" s="119">
        <v>2501</v>
      </c>
      <c r="O23" s="122">
        <v>54</v>
      </c>
      <c r="P23" s="122">
        <v>1</v>
      </c>
      <c r="Q23" s="123">
        <v>2556</v>
      </c>
      <c r="R23" s="14" t="s">
        <v>34</v>
      </c>
    </row>
    <row r="24" spans="1:18" ht="18.75" customHeight="1">
      <c r="A24" s="13" t="s">
        <v>35</v>
      </c>
      <c r="B24" s="119">
        <f>_xlfn.COMPOUNDVALUE(725)</f>
        <v>1137</v>
      </c>
      <c r="C24" s="120">
        <v>3313933</v>
      </c>
      <c r="D24" s="119">
        <f>_xlfn.COMPOUNDVALUE(726)</f>
        <v>665</v>
      </c>
      <c r="E24" s="120">
        <v>300516</v>
      </c>
      <c r="F24" s="119">
        <f>_xlfn.COMPOUNDVALUE(727)</f>
        <v>1802</v>
      </c>
      <c r="G24" s="120">
        <v>3614450</v>
      </c>
      <c r="H24" s="119">
        <f>_xlfn.COMPOUNDVALUE(728)</f>
        <v>72</v>
      </c>
      <c r="I24" s="121">
        <v>199750</v>
      </c>
      <c r="J24" s="119">
        <v>113</v>
      </c>
      <c r="K24" s="121">
        <v>12621</v>
      </c>
      <c r="L24" s="119">
        <v>1904</v>
      </c>
      <c r="M24" s="121">
        <v>3427321</v>
      </c>
      <c r="N24" s="119">
        <v>1920</v>
      </c>
      <c r="O24" s="122">
        <v>49</v>
      </c>
      <c r="P24" s="122">
        <v>2</v>
      </c>
      <c r="Q24" s="123">
        <v>1971</v>
      </c>
      <c r="R24" s="14" t="s">
        <v>35</v>
      </c>
    </row>
    <row r="25" spans="1:18" ht="18.75" customHeight="1">
      <c r="A25" s="13" t="s">
        <v>36</v>
      </c>
      <c r="B25" s="119">
        <f>_xlfn.COMPOUNDVALUE(729)</f>
        <v>6386</v>
      </c>
      <c r="C25" s="120">
        <v>24783529</v>
      </c>
      <c r="D25" s="119">
        <f>_xlfn.COMPOUNDVALUE(730)</f>
        <v>3368</v>
      </c>
      <c r="E25" s="120">
        <v>1561080</v>
      </c>
      <c r="F25" s="119">
        <f>_xlfn.COMPOUNDVALUE(731)</f>
        <v>9754</v>
      </c>
      <c r="G25" s="120">
        <v>26344609</v>
      </c>
      <c r="H25" s="119">
        <f>_xlfn.COMPOUNDVALUE(732)</f>
        <v>625</v>
      </c>
      <c r="I25" s="121">
        <v>1601314</v>
      </c>
      <c r="J25" s="119">
        <v>550</v>
      </c>
      <c r="K25" s="121">
        <v>63835</v>
      </c>
      <c r="L25" s="119">
        <v>10539</v>
      </c>
      <c r="M25" s="121">
        <v>24807130</v>
      </c>
      <c r="N25" s="119">
        <v>10774</v>
      </c>
      <c r="O25" s="122">
        <v>337</v>
      </c>
      <c r="P25" s="122">
        <v>33</v>
      </c>
      <c r="Q25" s="123">
        <v>11144</v>
      </c>
      <c r="R25" s="14" t="s">
        <v>36</v>
      </c>
    </row>
    <row r="26" spans="1:18" ht="18.75" customHeight="1">
      <c r="A26" s="13" t="s">
        <v>37</v>
      </c>
      <c r="B26" s="119">
        <f>_xlfn.COMPOUNDVALUE(733)</f>
        <v>693</v>
      </c>
      <c r="C26" s="120">
        <v>1781711</v>
      </c>
      <c r="D26" s="119">
        <f>_xlfn.COMPOUNDVALUE(734)</f>
        <v>421</v>
      </c>
      <c r="E26" s="120">
        <v>172166</v>
      </c>
      <c r="F26" s="119">
        <f>_xlfn.COMPOUNDVALUE(735)</f>
        <v>1114</v>
      </c>
      <c r="G26" s="120">
        <v>1953877</v>
      </c>
      <c r="H26" s="119">
        <f>_xlfn.COMPOUNDVALUE(736)</f>
        <v>28</v>
      </c>
      <c r="I26" s="121">
        <v>114396</v>
      </c>
      <c r="J26" s="119">
        <v>87</v>
      </c>
      <c r="K26" s="121">
        <v>15109</v>
      </c>
      <c r="L26" s="119">
        <v>1157</v>
      </c>
      <c r="M26" s="121">
        <v>1854590</v>
      </c>
      <c r="N26" s="119">
        <v>1125</v>
      </c>
      <c r="O26" s="122">
        <v>25</v>
      </c>
      <c r="P26" s="122">
        <v>3</v>
      </c>
      <c r="Q26" s="123">
        <v>1153</v>
      </c>
      <c r="R26" s="14" t="s">
        <v>37</v>
      </c>
    </row>
    <row r="27" spans="1:18" ht="18.75" customHeight="1">
      <c r="A27" s="13" t="s">
        <v>38</v>
      </c>
      <c r="B27" s="119">
        <f>_xlfn.COMPOUNDVALUE(737)</f>
        <v>1739</v>
      </c>
      <c r="C27" s="120">
        <v>5245792</v>
      </c>
      <c r="D27" s="119">
        <f>_xlfn.COMPOUNDVALUE(738)</f>
        <v>931</v>
      </c>
      <c r="E27" s="120">
        <v>409094</v>
      </c>
      <c r="F27" s="119">
        <f>_xlfn.COMPOUNDVALUE(739)</f>
        <v>2670</v>
      </c>
      <c r="G27" s="120">
        <v>5654886</v>
      </c>
      <c r="H27" s="119">
        <f>_xlfn.COMPOUNDVALUE(740)</f>
        <v>118</v>
      </c>
      <c r="I27" s="121">
        <v>525690</v>
      </c>
      <c r="J27" s="119">
        <v>169</v>
      </c>
      <c r="K27" s="121">
        <v>23078</v>
      </c>
      <c r="L27" s="119">
        <v>2825</v>
      </c>
      <c r="M27" s="121">
        <v>5152274</v>
      </c>
      <c r="N27" s="119">
        <v>2861</v>
      </c>
      <c r="O27" s="122">
        <v>84</v>
      </c>
      <c r="P27" s="122">
        <v>5</v>
      </c>
      <c r="Q27" s="123">
        <v>2950</v>
      </c>
      <c r="R27" s="14" t="s">
        <v>38</v>
      </c>
    </row>
    <row r="28" spans="1:18" ht="18.75" customHeight="1">
      <c r="A28" s="13" t="s">
        <v>39</v>
      </c>
      <c r="B28" s="119">
        <f>_xlfn.COMPOUNDVALUE(741)</f>
        <v>954</v>
      </c>
      <c r="C28" s="120">
        <v>2467950</v>
      </c>
      <c r="D28" s="119">
        <f>_xlfn.COMPOUNDVALUE(742)</f>
        <v>497</v>
      </c>
      <c r="E28" s="120">
        <v>226647</v>
      </c>
      <c r="F28" s="119">
        <f>_xlfn.COMPOUNDVALUE(743)</f>
        <v>1451</v>
      </c>
      <c r="G28" s="120">
        <v>2694597</v>
      </c>
      <c r="H28" s="119">
        <f>_xlfn.COMPOUNDVALUE(744)</f>
        <v>47</v>
      </c>
      <c r="I28" s="121">
        <v>279235</v>
      </c>
      <c r="J28" s="119">
        <v>113</v>
      </c>
      <c r="K28" s="121">
        <v>5276</v>
      </c>
      <c r="L28" s="119">
        <v>1506</v>
      </c>
      <c r="M28" s="121">
        <v>2420637</v>
      </c>
      <c r="N28" s="119">
        <v>1499</v>
      </c>
      <c r="O28" s="122">
        <v>53</v>
      </c>
      <c r="P28" s="122">
        <v>1</v>
      </c>
      <c r="Q28" s="123">
        <v>1553</v>
      </c>
      <c r="R28" s="14" t="s">
        <v>39</v>
      </c>
    </row>
    <row r="29" spans="1:18" ht="18.75" customHeight="1">
      <c r="A29" s="15" t="s">
        <v>40</v>
      </c>
      <c r="B29" s="124">
        <v>40023</v>
      </c>
      <c r="C29" s="125">
        <v>233931307</v>
      </c>
      <c r="D29" s="124">
        <v>22297</v>
      </c>
      <c r="E29" s="125">
        <v>10831799</v>
      </c>
      <c r="F29" s="124">
        <v>62320</v>
      </c>
      <c r="G29" s="125">
        <v>244763105</v>
      </c>
      <c r="H29" s="124">
        <v>3298</v>
      </c>
      <c r="I29" s="126">
        <v>88402102</v>
      </c>
      <c r="J29" s="124">
        <v>3735</v>
      </c>
      <c r="K29" s="126">
        <v>224296</v>
      </c>
      <c r="L29" s="124">
        <v>66501</v>
      </c>
      <c r="M29" s="126">
        <v>156585300</v>
      </c>
      <c r="N29" s="124">
        <v>69879</v>
      </c>
      <c r="O29" s="127">
        <v>1785</v>
      </c>
      <c r="P29" s="127">
        <v>243</v>
      </c>
      <c r="Q29" s="128">
        <v>71907</v>
      </c>
      <c r="R29" s="16" t="s">
        <v>124</v>
      </c>
    </row>
    <row r="30" spans="1:18" ht="18.75" customHeight="1">
      <c r="A30" s="23"/>
      <c r="B30" s="129"/>
      <c r="C30" s="130"/>
      <c r="D30" s="129"/>
      <c r="E30" s="130"/>
      <c r="F30" s="131"/>
      <c r="G30" s="130"/>
      <c r="H30" s="131"/>
      <c r="I30" s="130"/>
      <c r="J30" s="131"/>
      <c r="K30" s="130"/>
      <c r="L30" s="131"/>
      <c r="M30" s="130"/>
      <c r="N30" s="132"/>
      <c r="O30" s="133"/>
      <c r="P30" s="133"/>
      <c r="Q30" s="134"/>
      <c r="R30" s="36" t="s">
        <v>122</v>
      </c>
    </row>
    <row r="31" spans="1:18" ht="18.75" customHeight="1">
      <c r="A31" s="11" t="s">
        <v>41</v>
      </c>
      <c r="B31" s="114">
        <f>_xlfn.COMPOUNDVALUE(745)</f>
        <v>3430</v>
      </c>
      <c r="C31" s="115">
        <v>36934919</v>
      </c>
      <c r="D31" s="114">
        <f>_xlfn.COMPOUNDVALUE(746)</f>
        <v>1242</v>
      </c>
      <c r="E31" s="115">
        <v>622867</v>
      </c>
      <c r="F31" s="114">
        <f>_xlfn.COMPOUNDVALUE(747)</f>
        <v>4672</v>
      </c>
      <c r="G31" s="115">
        <v>37557786</v>
      </c>
      <c r="H31" s="114">
        <f>_xlfn.COMPOUNDVALUE(748)</f>
        <v>462</v>
      </c>
      <c r="I31" s="116">
        <v>2409638</v>
      </c>
      <c r="J31" s="114">
        <v>334</v>
      </c>
      <c r="K31" s="116">
        <v>67779</v>
      </c>
      <c r="L31" s="114">
        <v>5180</v>
      </c>
      <c r="M31" s="116">
        <v>35215927</v>
      </c>
      <c r="N31" s="114">
        <v>5027</v>
      </c>
      <c r="O31" s="117">
        <v>175</v>
      </c>
      <c r="P31" s="117">
        <v>29</v>
      </c>
      <c r="Q31" s="135">
        <v>5231</v>
      </c>
      <c r="R31" s="14" t="s">
        <v>41</v>
      </c>
    </row>
    <row r="32" spans="1:18" ht="18.75" customHeight="1">
      <c r="A32" s="11" t="s">
        <v>42</v>
      </c>
      <c r="B32" s="114">
        <f>_xlfn.COMPOUNDVALUE(749)</f>
        <v>6302</v>
      </c>
      <c r="C32" s="115">
        <v>78176135</v>
      </c>
      <c r="D32" s="114">
        <f>_xlfn.COMPOUNDVALUE(750)</f>
        <v>1864</v>
      </c>
      <c r="E32" s="115">
        <v>1164623</v>
      </c>
      <c r="F32" s="114">
        <f>_xlfn.COMPOUNDVALUE(751)</f>
        <v>8166</v>
      </c>
      <c r="G32" s="115">
        <v>79340758</v>
      </c>
      <c r="H32" s="114">
        <f>_xlfn.COMPOUNDVALUE(752)</f>
        <v>1236</v>
      </c>
      <c r="I32" s="116">
        <v>27576633</v>
      </c>
      <c r="J32" s="114">
        <v>509</v>
      </c>
      <c r="K32" s="116">
        <v>287466</v>
      </c>
      <c r="L32" s="114">
        <v>9484</v>
      </c>
      <c r="M32" s="116">
        <v>52051591</v>
      </c>
      <c r="N32" s="119">
        <v>9581</v>
      </c>
      <c r="O32" s="122">
        <v>349</v>
      </c>
      <c r="P32" s="122">
        <v>78</v>
      </c>
      <c r="Q32" s="123">
        <v>10008</v>
      </c>
      <c r="R32" s="14" t="s">
        <v>42</v>
      </c>
    </row>
    <row r="33" spans="1:18" ht="18.75" customHeight="1">
      <c r="A33" s="11" t="s">
        <v>43</v>
      </c>
      <c r="B33" s="114">
        <f>_xlfn.COMPOUNDVALUE(753)</f>
        <v>3033</v>
      </c>
      <c r="C33" s="115">
        <v>19805864</v>
      </c>
      <c r="D33" s="114">
        <f>_xlfn.COMPOUNDVALUE(754)</f>
        <v>1266</v>
      </c>
      <c r="E33" s="115">
        <v>624067</v>
      </c>
      <c r="F33" s="114">
        <f>_xlfn.COMPOUNDVALUE(755)</f>
        <v>4299</v>
      </c>
      <c r="G33" s="115">
        <v>20429931</v>
      </c>
      <c r="H33" s="114">
        <f>_xlfn.COMPOUNDVALUE(756)</f>
        <v>285</v>
      </c>
      <c r="I33" s="116">
        <v>1265865</v>
      </c>
      <c r="J33" s="114">
        <v>279</v>
      </c>
      <c r="K33" s="116">
        <v>91755</v>
      </c>
      <c r="L33" s="114">
        <v>4643</v>
      </c>
      <c r="M33" s="116">
        <v>19255821</v>
      </c>
      <c r="N33" s="119">
        <v>4849</v>
      </c>
      <c r="O33" s="122">
        <v>126</v>
      </c>
      <c r="P33" s="122">
        <v>21</v>
      </c>
      <c r="Q33" s="123">
        <v>4996</v>
      </c>
      <c r="R33" s="14" t="s">
        <v>43</v>
      </c>
    </row>
    <row r="34" spans="1:18" ht="18.75" customHeight="1">
      <c r="A34" s="11" t="s">
        <v>44</v>
      </c>
      <c r="B34" s="114">
        <f>_xlfn.COMPOUNDVALUE(757)</f>
        <v>2521</v>
      </c>
      <c r="C34" s="115">
        <v>27178504</v>
      </c>
      <c r="D34" s="114">
        <f>_xlfn.COMPOUNDVALUE(758)</f>
        <v>1234</v>
      </c>
      <c r="E34" s="115">
        <v>644918</v>
      </c>
      <c r="F34" s="114">
        <f>_xlfn.COMPOUNDVALUE(759)</f>
        <v>3755</v>
      </c>
      <c r="G34" s="115">
        <v>27823422</v>
      </c>
      <c r="H34" s="114">
        <f>_xlfn.COMPOUNDVALUE(760)</f>
        <v>345</v>
      </c>
      <c r="I34" s="116">
        <v>1153220</v>
      </c>
      <c r="J34" s="114">
        <v>258</v>
      </c>
      <c r="K34" s="116">
        <v>-8640</v>
      </c>
      <c r="L34" s="114">
        <v>4147</v>
      </c>
      <c r="M34" s="116">
        <v>26661562</v>
      </c>
      <c r="N34" s="119">
        <v>4201</v>
      </c>
      <c r="O34" s="122">
        <v>161</v>
      </c>
      <c r="P34" s="122">
        <v>23</v>
      </c>
      <c r="Q34" s="123">
        <v>4385</v>
      </c>
      <c r="R34" s="14" t="s">
        <v>44</v>
      </c>
    </row>
    <row r="35" spans="1:18" ht="18.75" customHeight="1">
      <c r="A35" s="11" t="s">
        <v>45</v>
      </c>
      <c r="B35" s="114">
        <f>_xlfn.COMPOUNDVALUE(761)</f>
        <v>2834</v>
      </c>
      <c r="C35" s="115">
        <v>25778309</v>
      </c>
      <c r="D35" s="114">
        <f>_xlfn.COMPOUNDVALUE(762)</f>
        <v>825</v>
      </c>
      <c r="E35" s="115">
        <v>458064</v>
      </c>
      <c r="F35" s="114">
        <f>_xlfn.COMPOUNDVALUE(763)</f>
        <v>3659</v>
      </c>
      <c r="G35" s="115">
        <v>26236372</v>
      </c>
      <c r="H35" s="114">
        <f>_xlfn.COMPOUNDVALUE(764)</f>
        <v>466</v>
      </c>
      <c r="I35" s="116">
        <v>18054888</v>
      </c>
      <c r="J35" s="114">
        <v>290</v>
      </c>
      <c r="K35" s="116">
        <v>40051</v>
      </c>
      <c r="L35" s="114">
        <v>4179</v>
      </c>
      <c r="M35" s="116">
        <v>8221535</v>
      </c>
      <c r="N35" s="119">
        <v>4325</v>
      </c>
      <c r="O35" s="122">
        <v>177</v>
      </c>
      <c r="P35" s="122">
        <v>33</v>
      </c>
      <c r="Q35" s="123">
        <v>4535</v>
      </c>
      <c r="R35" s="14" t="s">
        <v>45</v>
      </c>
    </row>
    <row r="36" spans="1:18" ht="18.75" customHeight="1">
      <c r="A36" s="11" t="s">
        <v>46</v>
      </c>
      <c r="B36" s="114">
        <f>_xlfn.COMPOUNDVALUE(765)</f>
        <v>1898</v>
      </c>
      <c r="C36" s="115">
        <v>17265764</v>
      </c>
      <c r="D36" s="114">
        <f>_xlfn.COMPOUNDVALUE(766)</f>
        <v>807</v>
      </c>
      <c r="E36" s="115">
        <v>396054</v>
      </c>
      <c r="F36" s="114">
        <f>_xlfn.COMPOUNDVALUE(767)</f>
        <v>2705</v>
      </c>
      <c r="G36" s="115">
        <v>17661818</v>
      </c>
      <c r="H36" s="114">
        <f>_xlfn.COMPOUNDVALUE(768)</f>
        <v>186</v>
      </c>
      <c r="I36" s="116">
        <v>2747072</v>
      </c>
      <c r="J36" s="114">
        <v>183</v>
      </c>
      <c r="K36" s="116">
        <v>31987</v>
      </c>
      <c r="L36" s="114">
        <v>2932</v>
      </c>
      <c r="M36" s="116">
        <v>14946733</v>
      </c>
      <c r="N36" s="119">
        <v>3079</v>
      </c>
      <c r="O36" s="122">
        <v>82</v>
      </c>
      <c r="P36" s="122">
        <v>9</v>
      </c>
      <c r="Q36" s="123">
        <v>3170</v>
      </c>
      <c r="R36" s="14" t="s">
        <v>46</v>
      </c>
    </row>
    <row r="37" spans="1:18" ht="18.75" customHeight="1">
      <c r="A37" s="11" t="s">
        <v>47</v>
      </c>
      <c r="B37" s="114">
        <f>_xlfn.COMPOUNDVALUE(769)</f>
        <v>2034</v>
      </c>
      <c r="C37" s="115">
        <v>14402471</v>
      </c>
      <c r="D37" s="114">
        <f>_xlfn.COMPOUNDVALUE(770)</f>
        <v>1074</v>
      </c>
      <c r="E37" s="115">
        <v>525463</v>
      </c>
      <c r="F37" s="114">
        <f>_xlfn.COMPOUNDVALUE(771)</f>
        <v>3108</v>
      </c>
      <c r="G37" s="115">
        <v>14927934</v>
      </c>
      <c r="H37" s="114">
        <f>_xlfn.COMPOUNDVALUE(772)</f>
        <v>184</v>
      </c>
      <c r="I37" s="116">
        <v>920877</v>
      </c>
      <c r="J37" s="114">
        <v>180</v>
      </c>
      <c r="K37" s="116">
        <v>6136</v>
      </c>
      <c r="L37" s="114">
        <v>3341</v>
      </c>
      <c r="M37" s="116">
        <v>14013194</v>
      </c>
      <c r="N37" s="119">
        <v>3516</v>
      </c>
      <c r="O37" s="122">
        <v>92</v>
      </c>
      <c r="P37" s="122">
        <v>5</v>
      </c>
      <c r="Q37" s="123">
        <v>3613</v>
      </c>
      <c r="R37" s="14" t="s">
        <v>47</v>
      </c>
    </row>
    <row r="38" spans="1:18" ht="18.75" customHeight="1">
      <c r="A38" s="11" t="s">
        <v>48</v>
      </c>
      <c r="B38" s="114">
        <f>_xlfn.COMPOUNDVALUE(773)</f>
        <v>2645</v>
      </c>
      <c r="C38" s="115">
        <v>12746891</v>
      </c>
      <c r="D38" s="114">
        <f>_xlfn.COMPOUNDVALUE(774)</f>
        <v>1623</v>
      </c>
      <c r="E38" s="115">
        <v>750439</v>
      </c>
      <c r="F38" s="114">
        <f>_xlfn.COMPOUNDVALUE(775)</f>
        <v>4268</v>
      </c>
      <c r="G38" s="115">
        <v>13497330</v>
      </c>
      <c r="H38" s="114">
        <f>_xlfn.COMPOUNDVALUE(776)</f>
        <v>265</v>
      </c>
      <c r="I38" s="116">
        <v>571408</v>
      </c>
      <c r="J38" s="114">
        <v>276</v>
      </c>
      <c r="K38" s="116">
        <v>-10540</v>
      </c>
      <c r="L38" s="114">
        <v>4579</v>
      </c>
      <c r="M38" s="116">
        <v>12915382</v>
      </c>
      <c r="N38" s="119">
        <v>4867</v>
      </c>
      <c r="O38" s="122">
        <v>127</v>
      </c>
      <c r="P38" s="122">
        <v>12</v>
      </c>
      <c r="Q38" s="123">
        <v>5006</v>
      </c>
      <c r="R38" s="14" t="s">
        <v>48</v>
      </c>
    </row>
    <row r="39" spans="1:18" ht="18.75" customHeight="1">
      <c r="A39" s="11" t="s">
        <v>49</v>
      </c>
      <c r="B39" s="114">
        <f>_xlfn.COMPOUNDVALUE(777)</f>
        <v>3187</v>
      </c>
      <c r="C39" s="115">
        <v>15044409</v>
      </c>
      <c r="D39" s="114">
        <f>_xlfn.COMPOUNDVALUE(778)</f>
        <v>1559</v>
      </c>
      <c r="E39" s="115">
        <v>775191</v>
      </c>
      <c r="F39" s="114">
        <f>_xlfn.COMPOUNDVALUE(779)</f>
        <v>4746</v>
      </c>
      <c r="G39" s="115">
        <v>15819600</v>
      </c>
      <c r="H39" s="114">
        <f>_xlfn.COMPOUNDVALUE(780)</f>
        <v>307</v>
      </c>
      <c r="I39" s="116">
        <v>812627</v>
      </c>
      <c r="J39" s="114">
        <v>366</v>
      </c>
      <c r="K39" s="116">
        <v>113954</v>
      </c>
      <c r="L39" s="114">
        <v>5198</v>
      </c>
      <c r="M39" s="116">
        <v>15120927</v>
      </c>
      <c r="N39" s="114">
        <v>5634</v>
      </c>
      <c r="O39" s="117">
        <v>158</v>
      </c>
      <c r="P39" s="117">
        <v>16</v>
      </c>
      <c r="Q39" s="135">
        <v>5808</v>
      </c>
      <c r="R39" s="12" t="s">
        <v>49</v>
      </c>
    </row>
    <row r="40" spans="1:18" ht="18.75" customHeight="1">
      <c r="A40" s="11" t="s">
        <v>50</v>
      </c>
      <c r="B40" s="114">
        <f>_xlfn.COMPOUNDVALUE(781)</f>
        <v>3838</v>
      </c>
      <c r="C40" s="115">
        <v>21314290</v>
      </c>
      <c r="D40" s="114">
        <f>_xlfn.COMPOUNDVALUE(782)</f>
        <v>1952</v>
      </c>
      <c r="E40" s="115">
        <v>947057</v>
      </c>
      <c r="F40" s="114">
        <f>_xlfn.COMPOUNDVALUE(783)</f>
        <v>5790</v>
      </c>
      <c r="G40" s="115">
        <v>22261348</v>
      </c>
      <c r="H40" s="114">
        <f>_xlfn.COMPOUNDVALUE(784)</f>
        <v>326</v>
      </c>
      <c r="I40" s="116">
        <v>2013609</v>
      </c>
      <c r="J40" s="114">
        <v>435</v>
      </c>
      <c r="K40" s="116">
        <v>113275</v>
      </c>
      <c r="L40" s="114">
        <v>6240</v>
      </c>
      <c r="M40" s="116">
        <v>20361013</v>
      </c>
      <c r="N40" s="114">
        <v>6728</v>
      </c>
      <c r="O40" s="136">
        <v>152</v>
      </c>
      <c r="P40" s="136">
        <v>17</v>
      </c>
      <c r="Q40" s="137">
        <v>6897</v>
      </c>
      <c r="R40" s="12" t="s">
        <v>50</v>
      </c>
    </row>
    <row r="41" spans="1:18" ht="18.75" customHeight="1">
      <c r="A41" s="11" t="s">
        <v>51</v>
      </c>
      <c r="B41" s="114">
        <f>_xlfn.COMPOUNDVALUE(785)</f>
        <v>1719</v>
      </c>
      <c r="C41" s="115">
        <v>10504165</v>
      </c>
      <c r="D41" s="114">
        <f>_xlfn.COMPOUNDVALUE(786)</f>
        <v>1050</v>
      </c>
      <c r="E41" s="115">
        <v>551114</v>
      </c>
      <c r="F41" s="114">
        <f>_xlfn.COMPOUNDVALUE(787)</f>
        <v>2769</v>
      </c>
      <c r="G41" s="115">
        <v>11055279</v>
      </c>
      <c r="H41" s="114">
        <f>_xlfn.COMPOUNDVALUE(788)</f>
        <v>215</v>
      </c>
      <c r="I41" s="116">
        <v>29944844</v>
      </c>
      <c r="J41" s="114">
        <v>190</v>
      </c>
      <c r="K41" s="116">
        <v>132467</v>
      </c>
      <c r="L41" s="114">
        <v>3015</v>
      </c>
      <c r="M41" s="116">
        <v>-18757098</v>
      </c>
      <c r="N41" s="119">
        <v>3004</v>
      </c>
      <c r="O41" s="122">
        <v>99</v>
      </c>
      <c r="P41" s="122">
        <v>7</v>
      </c>
      <c r="Q41" s="123">
        <v>3110</v>
      </c>
      <c r="R41" s="14" t="s">
        <v>51</v>
      </c>
    </row>
    <row r="42" spans="1:18" ht="18.75" customHeight="1">
      <c r="A42" s="11" t="s">
        <v>52</v>
      </c>
      <c r="B42" s="114">
        <f>_xlfn.COMPOUNDVALUE(789)</f>
        <v>3890</v>
      </c>
      <c r="C42" s="115">
        <v>20839970</v>
      </c>
      <c r="D42" s="114">
        <f>_xlfn.COMPOUNDVALUE(790)</f>
        <v>1758</v>
      </c>
      <c r="E42" s="115">
        <v>879274</v>
      </c>
      <c r="F42" s="114">
        <f>_xlfn.COMPOUNDVALUE(791)</f>
        <v>5648</v>
      </c>
      <c r="G42" s="115">
        <v>21719244</v>
      </c>
      <c r="H42" s="114">
        <f>_xlfn.COMPOUNDVALUE(792)</f>
        <v>418</v>
      </c>
      <c r="I42" s="116">
        <v>2412914</v>
      </c>
      <c r="J42" s="114">
        <v>433</v>
      </c>
      <c r="K42" s="116">
        <v>63906</v>
      </c>
      <c r="L42" s="114">
        <v>6173</v>
      </c>
      <c r="M42" s="116">
        <v>19370236</v>
      </c>
      <c r="N42" s="119">
        <v>6424</v>
      </c>
      <c r="O42" s="122">
        <v>206</v>
      </c>
      <c r="P42" s="122">
        <v>20</v>
      </c>
      <c r="Q42" s="123">
        <v>6650</v>
      </c>
      <c r="R42" s="14" t="s">
        <v>52</v>
      </c>
    </row>
    <row r="43" spans="1:18" ht="18.75" customHeight="1">
      <c r="A43" s="11" t="s">
        <v>53</v>
      </c>
      <c r="B43" s="114">
        <f>_xlfn.COMPOUNDVALUE(793)</f>
        <v>5804</v>
      </c>
      <c r="C43" s="115">
        <v>20231203</v>
      </c>
      <c r="D43" s="114">
        <f>_xlfn.COMPOUNDVALUE(794)</f>
        <v>2947</v>
      </c>
      <c r="E43" s="115">
        <v>1424224</v>
      </c>
      <c r="F43" s="114">
        <f>_xlfn.COMPOUNDVALUE(795)</f>
        <v>8751</v>
      </c>
      <c r="G43" s="115">
        <v>21655428</v>
      </c>
      <c r="H43" s="114">
        <f>_xlfn.COMPOUNDVALUE(796)</f>
        <v>437</v>
      </c>
      <c r="I43" s="116">
        <v>2154514</v>
      </c>
      <c r="J43" s="114">
        <v>599</v>
      </c>
      <c r="K43" s="116">
        <v>137137</v>
      </c>
      <c r="L43" s="114">
        <v>9345</v>
      </c>
      <c r="M43" s="116">
        <v>19638050</v>
      </c>
      <c r="N43" s="119">
        <v>9638</v>
      </c>
      <c r="O43" s="122">
        <v>215</v>
      </c>
      <c r="P43" s="122">
        <v>30</v>
      </c>
      <c r="Q43" s="123">
        <v>9883</v>
      </c>
      <c r="R43" s="14" t="s">
        <v>53</v>
      </c>
    </row>
    <row r="44" spans="1:18" ht="18.75" customHeight="1">
      <c r="A44" s="11" t="s">
        <v>54</v>
      </c>
      <c r="B44" s="114">
        <f>_xlfn.COMPOUNDVALUE(797)</f>
        <v>1744</v>
      </c>
      <c r="C44" s="115">
        <v>9675807</v>
      </c>
      <c r="D44" s="114">
        <f>_xlfn.COMPOUNDVALUE(798)</f>
        <v>774</v>
      </c>
      <c r="E44" s="115">
        <v>389697</v>
      </c>
      <c r="F44" s="114">
        <f>_xlfn.COMPOUNDVALUE(799)</f>
        <v>2518</v>
      </c>
      <c r="G44" s="115">
        <v>10065504</v>
      </c>
      <c r="H44" s="114">
        <f>_xlfn.COMPOUNDVALUE(800)</f>
        <v>160</v>
      </c>
      <c r="I44" s="116">
        <v>582374</v>
      </c>
      <c r="J44" s="114">
        <v>246</v>
      </c>
      <c r="K44" s="116">
        <v>95785</v>
      </c>
      <c r="L44" s="114">
        <v>2703</v>
      </c>
      <c r="M44" s="116">
        <v>9578915</v>
      </c>
      <c r="N44" s="119">
        <v>2787</v>
      </c>
      <c r="O44" s="122">
        <v>71</v>
      </c>
      <c r="P44" s="122">
        <v>15</v>
      </c>
      <c r="Q44" s="123">
        <v>2873</v>
      </c>
      <c r="R44" s="14" t="s">
        <v>54</v>
      </c>
    </row>
    <row r="45" spans="1:18" ht="18.75" customHeight="1">
      <c r="A45" s="11" t="s">
        <v>55</v>
      </c>
      <c r="B45" s="114">
        <f>_xlfn.COMPOUNDVALUE(801)</f>
        <v>6976</v>
      </c>
      <c r="C45" s="115">
        <v>74105195</v>
      </c>
      <c r="D45" s="114">
        <f>_xlfn.COMPOUNDVALUE(802)</f>
        <v>2896</v>
      </c>
      <c r="E45" s="115">
        <v>1650975</v>
      </c>
      <c r="F45" s="114">
        <f>_xlfn.COMPOUNDVALUE(803)</f>
        <v>9872</v>
      </c>
      <c r="G45" s="115">
        <v>75756170</v>
      </c>
      <c r="H45" s="114">
        <f>_xlfn.COMPOUNDVALUE(804)</f>
        <v>850</v>
      </c>
      <c r="I45" s="116">
        <v>8621634</v>
      </c>
      <c r="J45" s="114">
        <v>866</v>
      </c>
      <c r="K45" s="116">
        <v>244146</v>
      </c>
      <c r="L45" s="114">
        <v>10913</v>
      </c>
      <c r="M45" s="116">
        <v>67378682</v>
      </c>
      <c r="N45" s="119">
        <v>11198</v>
      </c>
      <c r="O45" s="122">
        <v>361</v>
      </c>
      <c r="P45" s="122">
        <v>70</v>
      </c>
      <c r="Q45" s="123">
        <v>11629</v>
      </c>
      <c r="R45" s="14" t="s">
        <v>55</v>
      </c>
    </row>
    <row r="46" spans="1:18" ht="18.75" customHeight="1">
      <c r="A46" s="11" t="s">
        <v>56</v>
      </c>
      <c r="B46" s="114">
        <f>_xlfn.COMPOUNDVALUE(805)</f>
        <v>6931</v>
      </c>
      <c r="C46" s="115">
        <v>179542709</v>
      </c>
      <c r="D46" s="114">
        <f>_xlfn.COMPOUNDVALUE(806)</f>
        <v>2665</v>
      </c>
      <c r="E46" s="115">
        <v>1745590</v>
      </c>
      <c r="F46" s="114">
        <f>_xlfn.COMPOUNDVALUE(807)</f>
        <v>9596</v>
      </c>
      <c r="G46" s="115">
        <v>181288299</v>
      </c>
      <c r="H46" s="114">
        <f>_xlfn.COMPOUNDVALUE(808)</f>
        <v>1029</v>
      </c>
      <c r="I46" s="116">
        <v>84646311</v>
      </c>
      <c r="J46" s="114">
        <v>755</v>
      </c>
      <c r="K46" s="116">
        <v>96214</v>
      </c>
      <c r="L46" s="114">
        <v>10770</v>
      </c>
      <c r="M46" s="116">
        <v>96738202</v>
      </c>
      <c r="N46" s="119">
        <v>10715</v>
      </c>
      <c r="O46" s="122">
        <v>517</v>
      </c>
      <c r="P46" s="122">
        <v>145</v>
      </c>
      <c r="Q46" s="123">
        <v>11377</v>
      </c>
      <c r="R46" s="14" t="s">
        <v>56</v>
      </c>
    </row>
    <row r="47" spans="1:18" ht="18.75" customHeight="1">
      <c r="A47" s="11" t="s">
        <v>57</v>
      </c>
      <c r="B47" s="114">
        <f>_xlfn.COMPOUNDVALUE(809)</f>
        <v>3255</v>
      </c>
      <c r="C47" s="115">
        <v>88926663</v>
      </c>
      <c r="D47" s="114">
        <f>_xlfn.COMPOUNDVALUE(810)</f>
        <v>1262</v>
      </c>
      <c r="E47" s="115">
        <v>820305</v>
      </c>
      <c r="F47" s="114">
        <f>_xlfn.COMPOUNDVALUE(811)</f>
        <v>4517</v>
      </c>
      <c r="G47" s="115">
        <v>89746967</v>
      </c>
      <c r="H47" s="114">
        <f>_xlfn.COMPOUNDVALUE(812)</f>
        <v>506</v>
      </c>
      <c r="I47" s="116">
        <v>16366351</v>
      </c>
      <c r="J47" s="114">
        <v>314</v>
      </c>
      <c r="K47" s="116">
        <v>108693</v>
      </c>
      <c r="L47" s="114">
        <v>5078</v>
      </c>
      <c r="M47" s="116">
        <v>73489309</v>
      </c>
      <c r="N47" s="119">
        <v>5402</v>
      </c>
      <c r="O47" s="122">
        <v>190</v>
      </c>
      <c r="P47" s="122">
        <v>50</v>
      </c>
      <c r="Q47" s="123">
        <v>5642</v>
      </c>
      <c r="R47" s="14" t="s">
        <v>57</v>
      </c>
    </row>
    <row r="48" spans="1:18" ht="18.75" customHeight="1">
      <c r="A48" s="11" t="s">
        <v>58</v>
      </c>
      <c r="B48" s="114">
        <f>_xlfn.COMPOUNDVALUE(813)</f>
        <v>8894</v>
      </c>
      <c r="C48" s="115">
        <v>252695797</v>
      </c>
      <c r="D48" s="114">
        <f>_xlfn.COMPOUNDVALUE(814)</f>
        <v>2703</v>
      </c>
      <c r="E48" s="115">
        <v>2220887</v>
      </c>
      <c r="F48" s="114">
        <f>_xlfn.COMPOUNDVALUE(815)</f>
        <v>11597</v>
      </c>
      <c r="G48" s="115">
        <v>254916685</v>
      </c>
      <c r="H48" s="114">
        <f>_xlfn.COMPOUNDVALUE(816)</f>
        <v>2343</v>
      </c>
      <c r="I48" s="116">
        <v>52477477</v>
      </c>
      <c r="J48" s="114">
        <v>844</v>
      </c>
      <c r="K48" s="116">
        <v>322580</v>
      </c>
      <c r="L48" s="114">
        <v>14063</v>
      </c>
      <c r="M48" s="116">
        <v>202761788</v>
      </c>
      <c r="N48" s="119">
        <v>12829</v>
      </c>
      <c r="O48" s="122">
        <v>781</v>
      </c>
      <c r="P48" s="122">
        <v>168</v>
      </c>
      <c r="Q48" s="123">
        <v>13778</v>
      </c>
      <c r="R48" s="14" t="s">
        <v>58</v>
      </c>
    </row>
    <row r="49" spans="1:18" ht="18.75" customHeight="1">
      <c r="A49" s="11" t="s">
        <v>59</v>
      </c>
      <c r="B49" s="114">
        <f>_xlfn.COMPOUNDVALUE(817)</f>
        <v>5306</v>
      </c>
      <c r="C49" s="115">
        <v>53200758</v>
      </c>
      <c r="D49" s="114">
        <f>_xlfn.COMPOUNDVALUE(818)</f>
        <v>1899</v>
      </c>
      <c r="E49" s="115">
        <v>1119096</v>
      </c>
      <c r="F49" s="114">
        <f>_xlfn.COMPOUNDVALUE(819)</f>
        <v>7205</v>
      </c>
      <c r="G49" s="115">
        <v>54319854</v>
      </c>
      <c r="H49" s="114">
        <f>_xlfn.COMPOUNDVALUE(820)</f>
        <v>960</v>
      </c>
      <c r="I49" s="116">
        <v>12086252</v>
      </c>
      <c r="J49" s="114">
        <v>544</v>
      </c>
      <c r="K49" s="116">
        <v>-62735</v>
      </c>
      <c r="L49" s="114">
        <v>8283</v>
      </c>
      <c r="M49" s="116">
        <v>42170867</v>
      </c>
      <c r="N49" s="119">
        <v>8424</v>
      </c>
      <c r="O49" s="122">
        <v>350</v>
      </c>
      <c r="P49" s="122">
        <v>83</v>
      </c>
      <c r="Q49" s="123">
        <v>8857</v>
      </c>
      <c r="R49" s="14" t="s">
        <v>59</v>
      </c>
    </row>
    <row r="50" spans="1:18" ht="18.75" customHeight="1">
      <c r="A50" s="11" t="s">
        <v>60</v>
      </c>
      <c r="B50" s="114">
        <f>_xlfn.COMPOUNDVALUE(821)</f>
        <v>11845</v>
      </c>
      <c r="C50" s="115">
        <v>57736945</v>
      </c>
      <c r="D50" s="114">
        <f>_xlfn.COMPOUNDVALUE(822)</f>
        <v>5317</v>
      </c>
      <c r="E50" s="115">
        <v>2700025</v>
      </c>
      <c r="F50" s="114">
        <f>_xlfn.COMPOUNDVALUE(823)</f>
        <v>17162</v>
      </c>
      <c r="G50" s="115">
        <v>60436970</v>
      </c>
      <c r="H50" s="114">
        <f>_xlfn.COMPOUNDVALUE(824)</f>
        <v>1133</v>
      </c>
      <c r="I50" s="116">
        <v>12009757</v>
      </c>
      <c r="J50" s="114">
        <v>1123</v>
      </c>
      <c r="K50" s="116">
        <v>261901</v>
      </c>
      <c r="L50" s="114">
        <v>18654</v>
      </c>
      <c r="M50" s="116">
        <v>48689115</v>
      </c>
      <c r="N50" s="119">
        <v>18282</v>
      </c>
      <c r="O50" s="122">
        <v>537</v>
      </c>
      <c r="P50" s="122">
        <v>65</v>
      </c>
      <c r="Q50" s="123">
        <v>18884</v>
      </c>
      <c r="R50" s="14" t="s">
        <v>60</v>
      </c>
    </row>
    <row r="51" spans="1:18" ht="18.75" customHeight="1">
      <c r="A51" s="11" t="s">
        <v>61</v>
      </c>
      <c r="B51" s="114">
        <f>_xlfn.COMPOUNDVALUE(825)</f>
        <v>4073</v>
      </c>
      <c r="C51" s="115">
        <v>14458793</v>
      </c>
      <c r="D51" s="114">
        <f>_xlfn.COMPOUNDVALUE(826)</f>
        <v>1799</v>
      </c>
      <c r="E51" s="115">
        <v>863357</v>
      </c>
      <c r="F51" s="114">
        <f>_xlfn.COMPOUNDVALUE(827)</f>
        <v>5872</v>
      </c>
      <c r="G51" s="115">
        <v>15322150</v>
      </c>
      <c r="H51" s="114">
        <f>_xlfn.COMPOUNDVALUE(828)</f>
        <v>297</v>
      </c>
      <c r="I51" s="116">
        <v>1342570</v>
      </c>
      <c r="J51" s="114">
        <v>469</v>
      </c>
      <c r="K51" s="116">
        <v>180787</v>
      </c>
      <c r="L51" s="114">
        <v>6287</v>
      </c>
      <c r="M51" s="116">
        <v>14160368</v>
      </c>
      <c r="N51" s="119">
        <v>6430</v>
      </c>
      <c r="O51" s="122">
        <v>154</v>
      </c>
      <c r="P51" s="122">
        <v>18</v>
      </c>
      <c r="Q51" s="123">
        <v>6602</v>
      </c>
      <c r="R51" s="14" t="s">
        <v>61</v>
      </c>
    </row>
    <row r="52" spans="1:18" ht="18.75" customHeight="1">
      <c r="A52" s="11" t="s">
        <v>62</v>
      </c>
      <c r="B52" s="114">
        <f>_xlfn.COMPOUNDVALUE(829)</f>
        <v>7932</v>
      </c>
      <c r="C52" s="115">
        <v>43057742</v>
      </c>
      <c r="D52" s="114">
        <f>_xlfn.COMPOUNDVALUE(830)</f>
        <v>4856</v>
      </c>
      <c r="E52" s="115">
        <v>2457962</v>
      </c>
      <c r="F52" s="114">
        <f>_xlfn.COMPOUNDVALUE(831)</f>
        <v>12788</v>
      </c>
      <c r="G52" s="115">
        <v>45515703</v>
      </c>
      <c r="H52" s="114">
        <f>_xlfn.COMPOUNDVALUE(832)</f>
        <v>850</v>
      </c>
      <c r="I52" s="116">
        <v>2855843</v>
      </c>
      <c r="J52" s="114">
        <v>894</v>
      </c>
      <c r="K52" s="116">
        <v>129640</v>
      </c>
      <c r="L52" s="114">
        <v>13847</v>
      </c>
      <c r="M52" s="116">
        <v>42789501</v>
      </c>
      <c r="N52" s="119">
        <v>14686</v>
      </c>
      <c r="O52" s="122">
        <v>435</v>
      </c>
      <c r="P52" s="122">
        <v>42</v>
      </c>
      <c r="Q52" s="123">
        <v>15163</v>
      </c>
      <c r="R52" s="14" t="s">
        <v>62</v>
      </c>
    </row>
    <row r="53" spans="1:18" ht="18.75" customHeight="1">
      <c r="A53" s="11" t="s">
        <v>63</v>
      </c>
      <c r="B53" s="114">
        <f>_xlfn.COMPOUNDVALUE(833)</f>
        <v>5919</v>
      </c>
      <c r="C53" s="115">
        <v>36965719</v>
      </c>
      <c r="D53" s="114">
        <f>_xlfn.COMPOUNDVALUE(834)</f>
        <v>3133</v>
      </c>
      <c r="E53" s="115">
        <v>1710678</v>
      </c>
      <c r="F53" s="114">
        <f>_xlfn.COMPOUNDVALUE(835)</f>
        <v>9052</v>
      </c>
      <c r="G53" s="115">
        <v>38676397</v>
      </c>
      <c r="H53" s="114">
        <f>_xlfn.COMPOUNDVALUE(836)</f>
        <v>586</v>
      </c>
      <c r="I53" s="116">
        <v>3292644</v>
      </c>
      <c r="J53" s="114">
        <v>579</v>
      </c>
      <c r="K53" s="116">
        <v>81860</v>
      </c>
      <c r="L53" s="114">
        <v>9826</v>
      </c>
      <c r="M53" s="116">
        <v>35465613</v>
      </c>
      <c r="N53" s="119">
        <v>9985</v>
      </c>
      <c r="O53" s="122">
        <v>337</v>
      </c>
      <c r="P53" s="122">
        <v>29</v>
      </c>
      <c r="Q53" s="123">
        <v>10351</v>
      </c>
      <c r="R53" s="14" t="s">
        <v>63</v>
      </c>
    </row>
    <row r="54" spans="1:18" ht="18.75" customHeight="1">
      <c r="A54" s="11" t="s">
        <v>64</v>
      </c>
      <c r="B54" s="114">
        <f>_xlfn.COMPOUNDVALUE(837)</f>
        <v>4275</v>
      </c>
      <c r="C54" s="115">
        <v>16089192</v>
      </c>
      <c r="D54" s="114">
        <f>_xlfn.COMPOUNDVALUE(838)</f>
        <v>1799</v>
      </c>
      <c r="E54" s="115">
        <v>901786</v>
      </c>
      <c r="F54" s="114">
        <f>_xlfn.COMPOUNDVALUE(839)</f>
        <v>6074</v>
      </c>
      <c r="G54" s="115">
        <v>16990978</v>
      </c>
      <c r="H54" s="114">
        <f>_xlfn.COMPOUNDVALUE(840)</f>
        <v>485</v>
      </c>
      <c r="I54" s="116">
        <v>5201513</v>
      </c>
      <c r="J54" s="114">
        <v>504</v>
      </c>
      <c r="K54" s="116">
        <v>102116</v>
      </c>
      <c r="L54" s="114">
        <v>6722</v>
      </c>
      <c r="M54" s="116">
        <v>11891580</v>
      </c>
      <c r="N54" s="119">
        <v>6853</v>
      </c>
      <c r="O54" s="122">
        <v>195</v>
      </c>
      <c r="P54" s="122">
        <v>24</v>
      </c>
      <c r="Q54" s="123">
        <v>7072</v>
      </c>
      <c r="R54" s="14" t="s">
        <v>64</v>
      </c>
    </row>
    <row r="55" spans="1:18" ht="18.75" customHeight="1">
      <c r="A55" s="13" t="s">
        <v>65</v>
      </c>
      <c r="B55" s="119">
        <f>_xlfn.COMPOUNDVALUE(841)</f>
        <v>7190</v>
      </c>
      <c r="C55" s="120">
        <v>27623554</v>
      </c>
      <c r="D55" s="119">
        <f>_xlfn.COMPOUNDVALUE(842)</f>
        <v>3689</v>
      </c>
      <c r="E55" s="120">
        <v>1910476</v>
      </c>
      <c r="F55" s="119">
        <f>_xlfn.COMPOUNDVALUE(843)</f>
        <v>10879</v>
      </c>
      <c r="G55" s="120">
        <v>29534030</v>
      </c>
      <c r="H55" s="119">
        <f>_xlfn.COMPOUNDVALUE(844)</f>
        <v>611</v>
      </c>
      <c r="I55" s="121">
        <v>2243163</v>
      </c>
      <c r="J55" s="119">
        <v>702</v>
      </c>
      <c r="K55" s="121">
        <v>164802</v>
      </c>
      <c r="L55" s="119">
        <v>11727</v>
      </c>
      <c r="M55" s="121">
        <v>27455669</v>
      </c>
      <c r="N55" s="119">
        <v>12000</v>
      </c>
      <c r="O55" s="122">
        <v>290</v>
      </c>
      <c r="P55" s="122">
        <v>27</v>
      </c>
      <c r="Q55" s="123">
        <v>12317</v>
      </c>
      <c r="R55" s="14" t="s">
        <v>65</v>
      </c>
    </row>
    <row r="56" spans="1:18" ht="18.75" customHeight="1">
      <c r="A56" s="13" t="s">
        <v>66</v>
      </c>
      <c r="B56" s="119">
        <f>_xlfn.COMPOUNDVALUE(845)</f>
        <v>6319</v>
      </c>
      <c r="C56" s="120">
        <v>36393020</v>
      </c>
      <c r="D56" s="119">
        <f>_xlfn.COMPOUNDVALUE(846)</f>
        <v>3435</v>
      </c>
      <c r="E56" s="120">
        <v>1762516</v>
      </c>
      <c r="F56" s="119">
        <f>_xlfn.COMPOUNDVALUE(847)</f>
        <v>9754</v>
      </c>
      <c r="G56" s="120">
        <v>38155536</v>
      </c>
      <c r="H56" s="119">
        <f>_xlfn.COMPOUNDVALUE(848)</f>
        <v>547</v>
      </c>
      <c r="I56" s="121">
        <v>16651695</v>
      </c>
      <c r="J56" s="119">
        <v>584</v>
      </c>
      <c r="K56" s="121">
        <v>141151</v>
      </c>
      <c r="L56" s="119">
        <v>10474</v>
      </c>
      <c r="M56" s="121">
        <v>21644992</v>
      </c>
      <c r="N56" s="119">
        <v>11131</v>
      </c>
      <c r="O56" s="122">
        <v>322</v>
      </c>
      <c r="P56" s="122">
        <v>33</v>
      </c>
      <c r="Q56" s="123">
        <v>11486</v>
      </c>
      <c r="R56" s="14" t="s">
        <v>66</v>
      </c>
    </row>
    <row r="57" spans="1:18" ht="18.75" customHeight="1">
      <c r="A57" s="13" t="s">
        <v>67</v>
      </c>
      <c r="B57" s="119">
        <f>_xlfn.COMPOUNDVALUE(849)</f>
        <v>7544</v>
      </c>
      <c r="C57" s="120">
        <v>31736277</v>
      </c>
      <c r="D57" s="119">
        <f>_xlfn.COMPOUNDVALUE(850)</f>
        <v>3848</v>
      </c>
      <c r="E57" s="120">
        <v>1857949</v>
      </c>
      <c r="F57" s="119">
        <f>_xlfn.COMPOUNDVALUE(851)</f>
        <v>11392</v>
      </c>
      <c r="G57" s="120">
        <v>33594226</v>
      </c>
      <c r="H57" s="119">
        <f>_xlfn.COMPOUNDVALUE(852)</f>
        <v>536</v>
      </c>
      <c r="I57" s="121">
        <v>2859433</v>
      </c>
      <c r="J57" s="119">
        <v>754</v>
      </c>
      <c r="K57" s="121">
        <v>157398</v>
      </c>
      <c r="L57" s="119">
        <v>12169</v>
      </c>
      <c r="M57" s="121">
        <v>30892191</v>
      </c>
      <c r="N57" s="119">
        <v>12251</v>
      </c>
      <c r="O57" s="122">
        <v>283</v>
      </c>
      <c r="P57" s="122">
        <v>35</v>
      </c>
      <c r="Q57" s="123">
        <v>12569</v>
      </c>
      <c r="R57" s="14" t="s">
        <v>67</v>
      </c>
    </row>
    <row r="58" spans="1:18" ht="18.75" customHeight="1">
      <c r="A58" s="13" t="s">
        <v>68</v>
      </c>
      <c r="B58" s="119">
        <f>_xlfn.COMPOUNDVALUE(853)</f>
        <v>3477</v>
      </c>
      <c r="C58" s="120">
        <v>13647396</v>
      </c>
      <c r="D58" s="119">
        <f>_xlfn.COMPOUNDVALUE(854)</f>
        <v>1566</v>
      </c>
      <c r="E58" s="120">
        <v>759231</v>
      </c>
      <c r="F58" s="119">
        <f>_xlfn.COMPOUNDVALUE(855)</f>
        <v>5043</v>
      </c>
      <c r="G58" s="120">
        <v>14406628</v>
      </c>
      <c r="H58" s="119">
        <f>_xlfn.COMPOUNDVALUE(856)</f>
        <v>320</v>
      </c>
      <c r="I58" s="121">
        <v>2678719</v>
      </c>
      <c r="J58" s="119">
        <v>401</v>
      </c>
      <c r="K58" s="121">
        <v>32135</v>
      </c>
      <c r="L58" s="119">
        <v>5465</v>
      </c>
      <c r="M58" s="121">
        <v>11760044</v>
      </c>
      <c r="N58" s="119">
        <v>5539</v>
      </c>
      <c r="O58" s="122">
        <v>153</v>
      </c>
      <c r="P58" s="122">
        <v>21</v>
      </c>
      <c r="Q58" s="123">
        <v>5713</v>
      </c>
      <c r="R58" s="14" t="s">
        <v>68</v>
      </c>
    </row>
    <row r="59" spans="1:18" ht="18.75" customHeight="1">
      <c r="A59" s="13" t="s">
        <v>69</v>
      </c>
      <c r="B59" s="119">
        <f>_xlfn.COMPOUNDVALUE(857)</f>
        <v>5726</v>
      </c>
      <c r="C59" s="120">
        <v>19263582</v>
      </c>
      <c r="D59" s="119">
        <f>_xlfn.COMPOUNDVALUE(858)</f>
        <v>2999</v>
      </c>
      <c r="E59" s="120">
        <v>1452031</v>
      </c>
      <c r="F59" s="119">
        <f>_xlfn.COMPOUNDVALUE(859)</f>
        <v>8725</v>
      </c>
      <c r="G59" s="120">
        <v>20715613</v>
      </c>
      <c r="H59" s="119">
        <f>_xlfn.COMPOUNDVALUE(860)</f>
        <v>426</v>
      </c>
      <c r="I59" s="121">
        <v>604760</v>
      </c>
      <c r="J59" s="119">
        <v>529</v>
      </c>
      <c r="K59" s="121">
        <v>110141</v>
      </c>
      <c r="L59" s="119">
        <v>9299</v>
      </c>
      <c r="M59" s="121">
        <v>20220994</v>
      </c>
      <c r="N59" s="119">
        <v>9507</v>
      </c>
      <c r="O59" s="122">
        <v>234</v>
      </c>
      <c r="P59" s="122">
        <v>17</v>
      </c>
      <c r="Q59" s="123">
        <v>9758</v>
      </c>
      <c r="R59" s="14" t="s">
        <v>69</v>
      </c>
    </row>
    <row r="60" spans="1:18" ht="18.75" customHeight="1">
      <c r="A60" s="13" t="s">
        <v>70</v>
      </c>
      <c r="B60" s="119">
        <f>_xlfn.COMPOUNDVALUE(861)</f>
        <v>7052</v>
      </c>
      <c r="C60" s="120">
        <v>36633152</v>
      </c>
      <c r="D60" s="119">
        <f>_xlfn.COMPOUNDVALUE(862)</f>
        <v>3464</v>
      </c>
      <c r="E60" s="120">
        <v>1820351</v>
      </c>
      <c r="F60" s="119">
        <f>_xlfn.COMPOUNDVALUE(863)</f>
        <v>10516</v>
      </c>
      <c r="G60" s="120">
        <v>38453503</v>
      </c>
      <c r="H60" s="119">
        <f>_xlfn.COMPOUNDVALUE(864)</f>
        <v>516</v>
      </c>
      <c r="I60" s="121">
        <v>33769646</v>
      </c>
      <c r="J60" s="119">
        <v>786</v>
      </c>
      <c r="K60" s="121">
        <v>147829</v>
      </c>
      <c r="L60" s="119">
        <v>11258</v>
      </c>
      <c r="M60" s="121">
        <v>4831686</v>
      </c>
      <c r="N60" s="119">
        <v>11330</v>
      </c>
      <c r="O60" s="122">
        <v>265</v>
      </c>
      <c r="P60" s="122">
        <v>28</v>
      </c>
      <c r="Q60" s="123">
        <v>11623</v>
      </c>
      <c r="R60" s="14" t="s">
        <v>70</v>
      </c>
    </row>
    <row r="61" spans="1:18" ht="18.75" customHeight="1">
      <c r="A61" s="13" t="s">
        <v>71</v>
      </c>
      <c r="B61" s="119">
        <f>_xlfn.COMPOUNDVALUE(865)</f>
        <v>10285</v>
      </c>
      <c r="C61" s="120">
        <v>48446273</v>
      </c>
      <c r="D61" s="119">
        <f>_xlfn.COMPOUNDVALUE(866)</f>
        <v>5279</v>
      </c>
      <c r="E61" s="120">
        <v>2690270</v>
      </c>
      <c r="F61" s="119">
        <f>_xlfn.COMPOUNDVALUE(867)</f>
        <v>15564</v>
      </c>
      <c r="G61" s="120">
        <v>51136544</v>
      </c>
      <c r="H61" s="119">
        <f>_xlfn.COMPOUNDVALUE(868)</f>
        <v>687</v>
      </c>
      <c r="I61" s="121">
        <v>1953622</v>
      </c>
      <c r="J61" s="119">
        <v>1173</v>
      </c>
      <c r="K61" s="121">
        <v>353298</v>
      </c>
      <c r="L61" s="119">
        <v>16572</v>
      </c>
      <c r="M61" s="121">
        <v>49536220</v>
      </c>
      <c r="N61" s="119">
        <v>16466</v>
      </c>
      <c r="O61" s="122">
        <v>335</v>
      </c>
      <c r="P61" s="122">
        <v>45</v>
      </c>
      <c r="Q61" s="123">
        <v>16846</v>
      </c>
      <c r="R61" s="14" t="s">
        <v>71</v>
      </c>
    </row>
    <row r="62" spans="1:18" ht="18.75" customHeight="1">
      <c r="A62" s="15" t="s">
        <v>72</v>
      </c>
      <c r="B62" s="124">
        <v>157878</v>
      </c>
      <c r="C62" s="125">
        <v>1360421468</v>
      </c>
      <c r="D62" s="124">
        <v>72584</v>
      </c>
      <c r="E62" s="125">
        <v>38596538</v>
      </c>
      <c r="F62" s="124">
        <v>230462</v>
      </c>
      <c r="G62" s="125">
        <v>1399018006</v>
      </c>
      <c r="H62" s="124">
        <v>17974</v>
      </c>
      <c r="I62" s="126">
        <v>352281872</v>
      </c>
      <c r="J62" s="124">
        <v>16399</v>
      </c>
      <c r="K62" s="126">
        <v>3734474</v>
      </c>
      <c r="L62" s="124">
        <v>252566</v>
      </c>
      <c r="M62" s="126">
        <v>1050470608</v>
      </c>
      <c r="N62" s="124">
        <v>256688</v>
      </c>
      <c r="O62" s="127">
        <v>7929</v>
      </c>
      <c r="P62" s="127">
        <v>1215</v>
      </c>
      <c r="Q62" s="128">
        <v>265832</v>
      </c>
      <c r="R62" s="16" t="s">
        <v>125</v>
      </c>
    </row>
    <row r="63" spans="1:18" ht="18.75" customHeight="1">
      <c r="A63" s="23"/>
      <c r="B63" s="129"/>
      <c r="C63" s="130"/>
      <c r="D63" s="129"/>
      <c r="E63" s="130"/>
      <c r="F63" s="131"/>
      <c r="G63" s="130"/>
      <c r="H63" s="131"/>
      <c r="I63" s="130"/>
      <c r="J63" s="131"/>
      <c r="K63" s="130"/>
      <c r="L63" s="131"/>
      <c r="M63" s="130"/>
      <c r="N63" s="132"/>
      <c r="O63" s="133"/>
      <c r="P63" s="133"/>
      <c r="Q63" s="134"/>
      <c r="R63" s="36" t="s">
        <v>122</v>
      </c>
    </row>
    <row r="64" spans="1:18" ht="18.75" customHeight="1">
      <c r="A64" s="11" t="s">
        <v>73</v>
      </c>
      <c r="B64" s="114">
        <f>_xlfn.COMPOUNDVALUE(869)</f>
        <v>1717</v>
      </c>
      <c r="C64" s="115">
        <v>12601876</v>
      </c>
      <c r="D64" s="114">
        <f>_xlfn.COMPOUNDVALUE(870)</f>
        <v>965</v>
      </c>
      <c r="E64" s="115">
        <v>489378</v>
      </c>
      <c r="F64" s="114">
        <f>_xlfn.COMPOUNDVALUE(871)</f>
        <v>2682</v>
      </c>
      <c r="G64" s="115">
        <v>13091255</v>
      </c>
      <c r="H64" s="114">
        <f>_xlfn.COMPOUNDVALUE(872)</f>
        <v>316</v>
      </c>
      <c r="I64" s="116">
        <v>1203846</v>
      </c>
      <c r="J64" s="114">
        <v>185</v>
      </c>
      <c r="K64" s="116">
        <v>52362</v>
      </c>
      <c r="L64" s="114">
        <v>3048</v>
      </c>
      <c r="M64" s="116">
        <v>11939770</v>
      </c>
      <c r="N64" s="119">
        <v>3060</v>
      </c>
      <c r="O64" s="122">
        <v>140</v>
      </c>
      <c r="P64" s="122">
        <v>14</v>
      </c>
      <c r="Q64" s="123">
        <v>3214</v>
      </c>
      <c r="R64" s="14" t="s">
        <v>73</v>
      </c>
    </row>
    <row r="65" spans="1:18" ht="18.75" customHeight="1">
      <c r="A65" s="11" t="s">
        <v>74</v>
      </c>
      <c r="B65" s="114">
        <f>_xlfn.COMPOUNDVALUE(873)</f>
        <v>4953</v>
      </c>
      <c r="C65" s="115">
        <v>23301096</v>
      </c>
      <c r="D65" s="114">
        <f>_xlfn.COMPOUNDVALUE(874)</f>
        <v>2352</v>
      </c>
      <c r="E65" s="115">
        <v>1173483</v>
      </c>
      <c r="F65" s="114">
        <f>_xlfn.COMPOUNDVALUE(875)</f>
        <v>7305</v>
      </c>
      <c r="G65" s="115">
        <v>24474579</v>
      </c>
      <c r="H65" s="114">
        <f>_xlfn.COMPOUNDVALUE(876)</f>
        <v>590</v>
      </c>
      <c r="I65" s="116">
        <v>4761492</v>
      </c>
      <c r="J65" s="114">
        <v>722</v>
      </c>
      <c r="K65" s="116">
        <v>93951</v>
      </c>
      <c r="L65" s="114">
        <v>8060</v>
      </c>
      <c r="M65" s="116">
        <v>19807038</v>
      </c>
      <c r="N65" s="119">
        <v>8252</v>
      </c>
      <c r="O65" s="122">
        <v>308</v>
      </c>
      <c r="P65" s="122">
        <v>20</v>
      </c>
      <c r="Q65" s="123">
        <v>8580</v>
      </c>
      <c r="R65" s="14" t="s">
        <v>74</v>
      </c>
    </row>
    <row r="66" spans="1:18" ht="18.75" customHeight="1">
      <c r="A66" s="11" t="s">
        <v>75</v>
      </c>
      <c r="B66" s="114">
        <f>_xlfn.COMPOUNDVALUE(877)</f>
        <v>1969</v>
      </c>
      <c r="C66" s="115">
        <v>8761867</v>
      </c>
      <c r="D66" s="114">
        <f>_xlfn.COMPOUNDVALUE(878)</f>
        <v>894</v>
      </c>
      <c r="E66" s="115">
        <v>419923</v>
      </c>
      <c r="F66" s="114">
        <f>_xlfn.COMPOUNDVALUE(879)</f>
        <v>2863</v>
      </c>
      <c r="G66" s="115">
        <v>9181790</v>
      </c>
      <c r="H66" s="114">
        <f>_xlfn.COMPOUNDVALUE(880)</f>
        <v>145</v>
      </c>
      <c r="I66" s="116">
        <v>441267</v>
      </c>
      <c r="J66" s="114">
        <v>225</v>
      </c>
      <c r="K66" s="116">
        <v>60648</v>
      </c>
      <c r="L66" s="114">
        <v>3052</v>
      </c>
      <c r="M66" s="116">
        <v>8801171</v>
      </c>
      <c r="N66" s="119">
        <v>3145</v>
      </c>
      <c r="O66" s="122">
        <v>81</v>
      </c>
      <c r="P66" s="122">
        <v>11</v>
      </c>
      <c r="Q66" s="123">
        <v>3237</v>
      </c>
      <c r="R66" s="14" t="s">
        <v>75</v>
      </c>
    </row>
    <row r="67" spans="1:18" ht="18.75" customHeight="1">
      <c r="A67" s="11" t="s">
        <v>76</v>
      </c>
      <c r="B67" s="114">
        <f>_xlfn.COMPOUNDVALUE(881)</f>
        <v>2811</v>
      </c>
      <c r="C67" s="115">
        <v>7494685</v>
      </c>
      <c r="D67" s="114">
        <f>_xlfn.COMPOUNDVALUE(882)</f>
        <v>1723</v>
      </c>
      <c r="E67" s="115">
        <v>858277</v>
      </c>
      <c r="F67" s="114">
        <f>_xlfn.COMPOUNDVALUE(883)</f>
        <v>4534</v>
      </c>
      <c r="G67" s="115">
        <v>8352962</v>
      </c>
      <c r="H67" s="114">
        <f>_xlfn.COMPOUNDVALUE(884)</f>
        <v>374</v>
      </c>
      <c r="I67" s="116">
        <v>952605</v>
      </c>
      <c r="J67" s="114">
        <v>362</v>
      </c>
      <c r="K67" s="116">
        <v>34400</v>
      </c>
      <c r="L67" s="114">
        <v>5014</v>
      </c>
      <c r="M67" s="116">
        <v>7434757</v>
      </c>
      <c r="N67" s="119">
        <v>5305</v>
      </c>
      <c r="O67" s="122">
        <v>182</v>
      </c>
      <c r="P67" s="122">
        <v>10</v>
      </c>
      <c r="Q67" s="123">
        <v>5497</v>
      </c>
      <c r="R67" s="14" t="s">
        <v>76</v>
      </c>
    </row>
    <row r="68" spans="1:18" ht="18.75" customHeight="1">
      <c r="A68" s="11" t="s">
        <v>77</v>
      </c>
      <c r="B68" s="114">
        <f>_xlfn.COMPOUNDVALUE(885)</f>
        <v>6028</v>
      </c>
      <c r="C68" s="115">
        <v>80623388</v>
      </c>
      <c r="D68" s="114">
        <f>_xlfn.COMPOUNDVALUE(886)</f>
        <v>2619</v>
      </c>
      <c r="E68" s="115">
        <v>1534115</v>
      </c>
      <c r="F68" s="114">
        <f>_xlfn.COMPOUNDVALUE(887)</f>
        <v>8647</v>
      </c>
      <c r="G68" s="115">
        <v>82157503</v>
      </c>
      <c r="H68" s="114">
        <f>_xlfn.COMPOUNDVALUE(888)</f>
        <v>2091</v>
      </c>
      <c r="I68" s="116">
        <v>42796798</v>
      </c>
      <c r="J68" s="114">
        <v>703</v>
      </c>
      <c r="K68" s="116">
        <v>414254</v>
      </c>
      <c r="L68" s="114">
        <v>10829</v>
      </c>
      <c r="M68" s="116">
        <v>39774959</v>
      </c>
      <c r="N68" s="119">
        <v>9814</v>
      </c>
      <c r="O68" s="122">
        <v>828</v>
      </c>
      <c r="P68" s="122">
        <v>93</v>
      </c>
      <c r="Q68" s="123">
        <v>10735</v>
      </c>
      <c r="R68" s="14" t="s">
        <v>77</v>
      </c>
    </row>
    <row r="69" spans="1:18" ht="18.75" customHeight="1">
      <c r="A69" s="11" t="s">
        <v>78</v>
      </c>
      <c r="B69" s="114">
        <f>_xlfn.COMPOUNDVALUE(889)</f>
        <v>9100</v>
      </c>
      <c r="C69" s="115">
        <v>49238775</v>
      </c>
      <c r="D69" s="114">
        <f>_xlfn.COMPOUNDVALUE(890)</f>
        <v>4293</v>
      </c>
      <c r="E69" s="115">
        <v>2157909</v>
      </c>
      <c r="F69" s="114">
        <f>_xlfn.COMPOUNDVALUE(891)</f>
        <v>13393</v>
      </c>
      <c r="G69" s="115">
        <v>51396684</v>
      </c>
      <c r="H69" s="114">
        <f>_xlfn.COMPOUNDVALUE(892)</f>
        <v>612</v>
      </c>
      <c r="I69" s="116">
        <v>3027924</v>
      </c>
      <c r="J69" s="114">
        <v>899</v>
      </c>
      <c r="K69" s="116">
        <v>125946</v>
      </c>
      <c r="L69" s="114">
        <v>14232</v>
      </c>
      <c r="M69" s="116">
        <v>48494706</v>
      </c>
      <c r="N69" s="119">
        <v>14267</v>
      </c>
      <c r="O69" s="122">
        <v>348</v>
      </c>
      <c r="P69" s="122">
        <v>40</v>
      </c>
      <c r="Q69" s="123">
        <v>14655</v>
      </c>
      <c r="R69" s="14" t="s">
        <v>78</v>
      </c>
    </row>
    <row r="70" spans="1:18" ht="18.75" customHeight="1">
      <c r="A70" s="11" t="s">
        <v>79</v>
      </c>
      <c r="B70" s="114">
        <f>_xlfn.COMPOUNDVALUE(893)</f>
        <v>6471</v>
      </c>
      <c r="C70" s="115">
        <v>39226700</v>
      </c>
      <c r="D70" s="114">
        <f>_xlfn.COMPOUNDVALUE(894)</f>
        <v>3162</v>
      </c>
      <c r="E70" s="115">
        <v>1623640</v>
      </c>
      <c r="F70" s="114">
        <f>_xlfn.COMPOUNDVALUE(895)</f>
        <v>9633</v>
      </c>
      <c r="G70" s="115">
        <v>40850340</v>
      </c>
      <c r="H70" s="114">
        <f>_xlfn.COMPOUNDVALUE(896)</f>
        <v>574</v>
      </c>
      <c r="I70" s="116">
        <v>2354798</v>
      </c>
      <c r="J70" s="114">
        <v>763</v>
      </c>
      <c r="K70" s="116">
        <v>211542</v>
      </c>
      <c r="L70" s="114">
        <v>10365</v>
      </c>
      <c r="M70" s="116">
        <v>38707084</v>
      </c>
      <c r="N70" s="119">
        <v>10882</v>
      </c>
      <c r="O70" s="122">
        <v>243</v>
      </c>
      <c r="P70" s="122">
        <v>32</v>
      </c>
      <c r="Q70" s="123">
        <v>11157</v>
      </c>
      <c r="R70" s="14" t="s">
        <v>79</v>
      </c>
    </row>
    <row r="71" spans="1:18" ht="18.75" customHeight="1">
      <c r="A71" s="11" t="s">
        <v>80</v>
      </c>
      <c r="B71" s="114">
        <f>_xlfn.COMPOUNDVALUE(897)</f>
        <v>4993</v>
      </c>
      <c r="C71" s="115">
        <v>21804566</v>
      </c>
      <c r="D71" s="114">
        <f>_xlfn.COMPOUNDVALUE(898)</f>
        <v>3219</v>
      </c>
      <c r="E71" s="115">
        <v>1562400</v>
      </c>
      <c r="F71" s="114">
        <f>_xlfn.COMPOUNDVALUE(899)</f>
        <v>8212</v>
      </c>
      <c r="G71" s="115">
        <v>23366967</v>
      </c>
      <c r="H71" s="114">
        <f>_xlfn.COMPOUNDVALUE(900)</f>
        <v>527</v>
      </c>
      <c r="I71" s="116">
        <v>1949337</v>
      </c>
      <c r="J71" s="114">
        <v>552</v>
      </c>
      <c r="K71" s="116">
        <v>79486</v>
      </c>
      <c r="L71" s="114">
        <v>8937</v>
      </c>
      <c r="M71" s="116">
        <v>21497116</v>
      </c>
      <c r="N71" s="119">
        <v>9044</v>
      </c>
      <c r="O71" s="122">
        <v>330</v>
      </c>
      <c r="P71" s="122">
        <v>27</v>
      </c>
      <c r="Q71" s="123">
        <v>9401</v>
      </c>
      <c r="R71" s="14" t="s">
        <v>80</v>
      </c>
    </row>
    <row r="72" spans="1:18" ht="18.75" customHeight="1">
      <c r="A72" s="11" t="s">
        <v>81</v>
      </c>
      <c r="B72" s="114">
        <f>_xlfn.COMPOUNDVALUE(901)</f>
        <v>6651</v>
      </c>
      <c r="C72" s="115">
        <v>31086647</v>
      </c>
      <c r="D72" s="114">
        <f>_xlfn.COMPOUNDVALUE(902)</f>
        <v>4422</v>
      </c>
      <c r="E72" s="115">
        <v>2345449</v>
      </c>
      <c r="F72" s="114">
        <f>_xlfn.COMPOUNDVALUE(903)</f>
        <v>11073</v>
      </c>
      <c r="G72" s="115">
        <v>33432096</v>
      </c>
      <c r="H72" s="114">
        <f>_xlfn.COMPOUNDVALUE(904)</f>
        <v>776</v>
      </c>
      <c r="I72" s="116">
        <v>3707602</v>
      </c>
      <c r="J72" s="114">
        <v>790</v>
      </c>
      <c r="K72" s="116">
        <v>114730</v>
      </c>
      <c r="L72" s="114">
        <v>12030</v>
      </c>
      <c r="M72" s="116">
        <v>29839225</v>
      </c>
      <c r="N72" s="119">
        <v>13042</v>
      </c>
      <c r="O72" s="122">
        <v>467</v>
      </c>
      <c r="P72" s="122">
        <v>36</v>
      </c>
      <c r="Q72" s="123">
        <v>13545</v>
      </c>
      <c r="R72" s="14" t="s">
        <v>81</v>
      </c>
    </row>
    <row r="73" spans="1:18" ht="18.75" customHeight="1">
      <c r="A73" s="11" t="s">
        <v>82</v>
      </c>
      <c r="B73" s="114">
        <f>_xlfn.COMPOUNDVALUE(905)</f>
        <v>2258</v>
      </c>
      <c r="C73" s="115">
        <v>7476942</v>
      </c>
      <c r="D73" s="114">
        <f>_xlfn.COMPOUNDVALUE(906)</f>
        <v>2020</v>
      </c>
      <c r="E73" s="115">
        <v>821186</v>
      </c>
      <c r="F73" s="114">
        <f>_xlfn.COMPOUNDVALUE(907)</f>
        <v>4278</v>
      </c>
      <c r="G73" s="115">
        <v>8298128</v>
      </c>
      <c r="H73" s="114">
        <f>_xlfn.COMPOUNDVALUE(908)</f>
        <v>159</v>
      </c>
      <c r="I73" s="116">
        <v>807230</v>
      </c>
      <c r="J73" s="114">
        <v>287</v>
      </c>
      <c r="K73" s="116">
        <v>167692</v>
      </c>
      <c r="L73" s="114">
        <v>4522</v>
      </c>
      <c r="M73" s="116">
        <v>7658591</v>
      </c>
      <c r="N73" s="114">
        <v>4615</v>
      </c>
      <c r="O73" s="117">
        <v>123</v>
      </c>
      <c r="P73" s="117">
        <v>12</v>
      </c>
      <c r="Q73" s="118">
        <v>4750</v>
      </c>
      <c r="R73" s="12" t="s">
        <v>82</v>
      </c>
    </row>
    <row r="74" spans="1:18" ht="18.75" customHeight="1">
      <c r="A74" s="11" t="s">
        <v>83</v>
      </c>
      <c r="B74" s="114">
        <f>_xlfn.COMPOUNDVALUE(909)</f>
        <v>3658</v>
      </c>
      <c r="C74" s="115">
        <v>29889936</v>
      </c>
      <c r="D74" s="114">
        <f>_xlfn.COMPOUNDVALUE(910)</f>
        <v>2189</v>
      </c>
      <c r="E74" s="115">
        <v>1200941</v>
      </c>
      <c r="F74" s="114">
        <f>_xlfn.COMPOUNDVALUE(911)</f>
        <v>5847</v>
      </c>
      <c r="G74" s="115">
        <v>31090877</v>
      </c>
      <c r="H74" s="114">
        <f>_xlfn.COMPOUNDVALUE(912)</f>
        <v>660</v>
      </c>
      <c r="I74" s="116">
        <v>4843156</v>
      </c>
      <c r="J74" s="114">
        <v>402</v>
      </c>
      <c r="K74" s="116">
        <v>90706</v>
      </c>
      <c r="L74" s="114">
        <v>6601</v>
      </c>
      <c r="M74" s="116">
        <v>26338426</v>
      </c>
      <c r="N74" s="119">
        <v>6821</v>
      </c>
      <c r="O74" s="122">
        <v>356</v>
      </c>
      <c r="P74" s="122">
        <v>43</v>
      </c>
      <c r="Q74" s="123">
        <v>7220</v>
      </c>
      <c r="R74" s="14" t="s">
        <v>83</v>
      </c>
    </row>
    <row r="75" spans="1:18" ht="18.75" customHeight="1">
      <c r="A75" s="11" t="s">
        <v>84</v>
      </c>
      <c r="B75" s="114">
        <f>_xlfn.COMPOUNDVALUE(913)</f>
        <v>3738</v>
      </c>
      <c r="C75" s="115">
        <v>17850419</v>
      </c>
      <c r="D75" s="114">
        <f>_xlfn.COMPOUNDVALUE(914)</f>
        <v>2244</v>
      </c>
      <c r="E75" s="115">
        <v>1116608</v>
      </c>
      <c r="F75" s="114">
        <f>_xlfn.COMPOUNDVALUE(915)</f>
        <v>5982</v>
      </c>
      <c r="G75" s="115">
        <v>18967027</v>
      </c>
      <c r="H75" s="114">
        <f>_xlfn.COMPOUNDVALUE(916)</f>
        <v>397</v>
      </c>
      <c r="I75" s="116">
        <v>1252198</v>
      </c>
      <c r="J75" s="114">
        <v>462</v>
      </c>
      <c r="K75" s="116">
        <v>186158</v>
      </c>
      <c r="L75" s="114">
        <v>6528</v>
      </c>
      <c r="M75" s="116">
        <v>17900986</v>
      </c>
      <c r="N75" s="114">
        <v>6737</v>
      </c>
      <c r="O75" s="136">
        <v>202</v>
      </c>
      <c r="P75" s="136">
        <v>10</v>
      </c>
      <c r="Q75" s="137">
        <v>6949</v>
      </c>
      <c r="R75" s="12" t="s">
        <v>84</v>
      </c>
    </row>
    <row r="76" spans="1:18" ht="18.75" customHeight="1">
      <c r="A76" s="11" t="s">
        <v>85</v>
      </c>
      <c r="B76" s="114">
        <f>_xlfn.COMPOUNDVALUE(917)</f>
        <v>1279</v>
      </c>
      <c r="C76" s="115">
        <v>4449761</v>
      </c>
      <c r="D76" s="114">
        <f>_xlfn.COMPOUNDVALUE(918)</f>
        <v>764</v>
      </c>
      <c r="E76" s="115">
        <v>351284</v>
      </c>
      <c r="F76" s="114">
        <f>_xlfn.COMPOUNDVALUE(919)</f>
        <v>2043</v>
      </c>
      <c r="G76" s="115">
        <v>4801045</v>
      </c>
      <c r="H76" s="114">
        <f>_xlfn.COMPOUNDVALUE(920)</f>
        <v>84</v>
      </c>
      <c r="I76" s="116">
        <v>343976</v>
      </c>
      <c r="J76" s="114">
        <v>91</v>
      </c>
      <c r="K76" s="116">
        <v>43663</v>
      </c>
      <c r="L76" s="114">
        <v>2148</v>
      </c>
      <c r="M76" s="116">
        <v>4500732</v>
      </c>
      <c r="N76" s="119">
        <v>2170</v>
      </c>
      <c r="O76" s="122">
        <v>67</v>
      </c>
      <c r="P76" s="122">
        <v>1</v>
      </c>
      <c r="Q76" s="123">
        <v>2238</v>
      </c>
      <c r="R76" s="14" t="s">
        <v>85</v>
      </c>
    </row>
    <row r="77" spans="1:18" ht="18.75" customHeight="1">
      <c r="A77" s="11" t="s">
        <v>86</v>
      </c>
      <c r="B77" s="114">
        <f>_xlfn.COMPOUNDVALUE(921)</f>
        <v>2029</v>
      </c>
      <c r="C77" s="115">
        <v>6354860</v>
      </c>
      <c r="D77" s="114">
        <f>_xlfn.COMPOUNDVALUE(922)</f>
        <v>1123</v>
      </c>
      <c r="E77" s="115">
        <v>496021</v>
      </c>
      <c r="F77" s="114">
        <f>_xlfn.COMPOUNDVALUE(923)</f>
        <v>3152</v>
      </c>
      <c r="G77" s="115">
        <v>6850881</v>
      </c>
      <c r="H77" s="114">
        <f>_xlfn.COMPOUNDVALUE(924)</f>
        <v>84</v>
      </c>
      <c r="I77" s="116">
        <v>225952</v>
      </c>
      <c r="J77" s="114">
        <v>186</v>
      </c>
      <c r="K77" s="116">
        <v>28486</v>
      </c>
      <c r="L77" s="114">
        <v>3268</v>
      </c>
      <c r="M77" s="116">
        <v>6653414</v>
      </c>
      <c r="N77" s="119">
        <v>3129</v>
      </c>
      <c r="O77" s="122">
        <v>95</v>
      </c>
      <c r="P77" s="122">
        <v>8</v>
      </c>
      <c r="Q77" s="123">
        <v>3232</v>
      </c>
      <c r="R77" s="14" t="s">
        <v>86</v>
      </c>
    </row>
    <row r="78" spans="1:18" ht="18.75" customHeight="1">
      <c r="A78" s="13" t="s">
        <v>87</v>
      </c>
      <c r="B78" s="119">
        <f>_xlfn.COMPOUNDVALUE(925)</f>
        <v>4567</v>
      </c>
      <c r="C78" s="120">
        <v>18419887</v>
      </c>
      <c r="D78" s="119">
        <f>_xlfn.COMPOUNDVALUE(926)</f>
        <v>2109</v>
      </c>
      <c r="E78" s="120">
        <v>1062748</v>
      </c>
      <c r="F78" s="119">
        <f>_xlfn.COMPOUNDVALUE(927)</f>
        <v>6676</v>
      </c>
      <c r="G78" s="120">
        <v>19482636</v>
      </c>
      <c r="H78" s="119">
        <f>_xlfn.COMPOUNDVALUE(928)</f>
        <v>357</v>
      </c>
      <c r="I78" s="121">
        <v>3258467</v>
      </c>
      <c r="J78" s="119">
        <v>563</v>
      </c>
      <c r="K78" s="121">
        <v>105797</v>
      </c>
      <c r="L78" s="119">
        <v>7161</v>
      </c>
      <c r="M78" s="121">
        <v>16329965</v>
      </c>
      <c r="N78" s="119">
        <v>7487</v>
      </c>
      <c r="O78" s="122">
        <v>215</v>
      </c>
      <c r="P78" s="122">
        <v>16</v>
      </c>
      <c r="Q78" s="123">
        <v>7718</v>
      </c>
      <c r="R78" s="14" t="s">
        <v>87</v>
      </c>
    </row>
    <row r="79" spans="1:18" ht="18.75" customHeight="1">
      <c r="A79" s="13" t="s">
        <v>88</v>
      </c>
      <c r="B79" s="119">
        <f>_xlfn.COMPOUNDVALUE(929)</f>
        <v>2217</v>
      </c>
      <c r="C79" s="120">
        <v>7759408</v>
      </c>
      <c r="D79" s="119">
        <f>_xlfn.COMPOUNDVALUE(930)</f>
        <v>1544</v>
      </c>
      <c r="E79" s="120">
        <v>730438</v>
      </c>
      <c r="F79" s="119">
        <f>_xlfn.COMPOUNDVALUE(931)</f>
        <v>3761</v>
      </c>
      <c r="G79" s="120">
        <v>8489846</v>
      </c>
      <c r="H79" s="119">
        <f>_xlfn.COMPOUNDVALUE(932)</f>
        <v>156</v>
      </c>
      <c r="I79" s="121">
        <v>857250</v>
      </c>
      <c r="J79" s="119">
        <v>227</v>
      </c>
      <c r="K79" s="121">
        <v>33885</v>
      </c>
      <c r="L79" s="119">
        <v>3975</v>
      </c>
      <c r="M79" s="121">
        <v>7666480</v>
      </c>
      <c r="N79" s="119">
        <v>3966</v>
      </c>
      <c r="O79" s="122">
        <v>75</v>
      </c>
      <c r="P79" s="122">
        <v>6</v>
      </c>
      <c r="Q79" s="123">
        <v>4047</v>
      </c>
      <c r="R79" s="14" t="s">
        <v>88</v>
      </c>
    </row>
    <row r="80" spans="1:18" ht="18.75" customHeight="1">
      <c r="A80" s="13" t="s">
        <v>89</v>
      </c>
      <c r="B80" s="119">
        <f>_xlfn.COMPOUNDVALUE(933)</f>
        <v>1065</v>
      </c>
      <c r="C80" s="120">
        <v>3104520</v>
      </c>
      <c r="D80" s="119">
        <f>_xlfn.COMPOUNDVALUE(934)</f>
        <v>666</v>
      </c>
      <c r="E80" s="120">
        <v>306252</v>
      </c>
      <c r="F80" s="119">
        <f>_xlfn.COMPOUNDVALUE(935)</f>
        <v>1731</v>
      </c>
      <c r="G80" s="120">
        <v>3410773</v>
      </c>
      <c r="H80" s="119">
        <f>_xlfn.COMPOUNDVALUE(936)</f>
        <v>72</v>
      </c>
      <c r="I80" s="121">
        <v>194103</v>
      </c>
      <c r="J80" s="119">
        <v>95</v>
      </c>
      <c r="K80" s="121">
        <v>5400</v>
      </c>
      <c r="L80" s="119">
        <v>1823</v>
      </c>
      <c r="M80" s="121">
        <v>3222070</v>
      </c>
      <c r="N80" s="119">
        <v>1833</v>
      </c>
      <c r="O80" s="122">
        <v>44</v>
      </c>
      <c r="P80" s="122">
        <v>1</v>
      </c>
      <c r="Q80" s="123">
        <v>1878</v>
      </c>
      <c r="R80" s="14" t="s">
        <v>89</v>
      </c>
    </row>
    <row r="81" spans="1:18" ht="18.75" customHeight="1">
      <c r="A81" s="13" t="s">
        <v>90</v>
      </c>
      <c r="B81" s="119">
        <f>_xlfn.COMPOUNDVALUE(937)</f>
        <v>1101</v>
      </c>
      <c r="C81" s="120">
        <v>4138246</v>
      </c>
      <c r="D81" s="119">
        <f>_xlfn.COMPOUNDVALUE(938)</f>
        <v>539</v>
      </c>
      <c r="E81" s="120">
        <v>239684</v>
      </c>
      <c r="F81" s="119">
        <f>_xlfn.COMPOUNDVALUE(939)</f>
        <v>1640</v>
      </c>
      <c r="G81" s="120">
        <v>4377930</v>
      </c>
      <c r="H81" s="119">
        <f>_xlfn.COMPOUNDVALUE(940)</f>
        <v>179</v>
      </c>
      <c r="I81" s="121">
        <v>736104</v>
      </c>
      <c r="J81" s="119">
        <v>113</v>
      </c>
      <c r="K81" s="121">
        <v>1420</v>
      </c>
      <c r="L81" s="119">
        <v>1845</v>
      </c>
      <c r="M81" s="121">
        <v>3643246</v>
      </c>
      <c r="N81" s="119">
        <v>1846</v>
      </c>
      <c r="O81" s="122">
        <v>74</v>
      </c>
      <c r="P81" s="122">
        <v>5</v>
      </c>
      <c r="Q81" s="123">
        <v>1925</v>
      </c>
      <c r="R81" s="14" t="s">
        <v>90</v>
      </c>
    </row>
    <row r="82" spans="1:18" ht="18.75" customHeight="1">
      <c r="A82" s="13" t="s">
        <v>91</v>
      </c>
      <c r="B82" s="119">
        <f>_xlfn.COMPOUNDVALUE(941)</f>
        <v>1921</v>
      </c>
      <c r="C82" s="120">
        <v>8872547</v>
      </c>
      <c r="D82" s="119">
        <f>_xlfn.COMPOUNDVALUE(942)</f>
        <v>1073</v>
      </c>
      <c r="E82" s="120">
        <v>522995</v>
      </c>
      <c r="F82" s="119">
        <f>_xlfn.COMPOUNDVALUE(943)</f>
        <v>2994</v>
      </c>
      <c r="G82" s="120">
        <v>9395542</v>
      </c>
      <c r="H82" s="119">
        <f>_xlfn.COMPOUNDVALUE(944)</f>
        <v>163</v>
      </c>
      <c r="I82" s="121">
        <v>966767</v>
      </c>
      <c r="J82" s="119">
        <v>200</v>
      </c>
      <c r="K82" s="121">
        <v>10198</v>
      </c>
      <c r="L82" s="119">
        <v>3187</v>
      </c>
      <c r="M82" s="121">
        <v>8438973</v>
      </c>
      <c r="N82" s="119">
        <v>3117</v>
      </c>
      <c r="O82" s="122">
        <v>97</v>
      </c>
      <c r="P82" s="122">
        <v>8</v>
      </c>
      <c r="Q82" s="123">
        <v>3222</v>
      </c>
      <c r="R82" s="14" t="s">
        <v>91</v>
      </c>
    </row>
    <row r="83" spans="1:18" ht="18.75" customHeight="1">
      <c r="A83" s="13" t="s">
        <v>92</v>
      </c>
      <c r="B83" s="119">
        <f>_xlfn.COMPOUNDVALUE(945)</f>
        <v>791</v>
      </c>
      <c r="C83" s="120">
        <v>2935280</v>
      </c>
      <c r="D83" s="119">
        <f>_xlfn.COMPOUNDVALUE(946)</f>
        <v>418</v>
      </c>
      <c r="E83" s="120">
        <v>196946</v>
      </c>
      <c r="F83" s="119">
        <f>_xlfn.COMPOUNDVALUE(947)</f>
        <v>1209</v>
      </c>
      <c r="G83" s="120">
        <v>3132225</v>
      </c>
      <c r="H83" s="119">
        <f>_xlfn.COMPOUNDVALUE(948)</f>
        <v>35</v>
      </c>
      <c r="I83" s="121">
        <v>217431</v>
      </c>
      <c r="J83" s="119">
        <v>94</v>
      </c>
      <c r="K83" s="121">
        <v>9623</v>
      </c>
      <c r="L83" s="119">
        <v>1256</v>
      </c>
      <c r="M83" s="121">
        <v>2924417</v>
      </c>
      <c r="N83" s="119">
        <v>1291</v>
      </c>
      <c r="O83" s="122">
        <v>36</v>
      </c>
      <c r="P83" s="122">
        <v>6</v>
      </c>
      <c r="Q83" s="123">
        <v>1333</v>
      </c>
      <c r="R83" s="14" t="s">
        <v>92</v>
      </c>
    </row>
    <row r="84" spans="1:18" ht="18.75" customHeight="1">
      <c r="A84" s="13" t="s">
        <v>93</v>
      </c>
      <c r="B84" s="119">
        <f>_xlfn.COMPOUNDVALUE(949)</f>
        <v>1379</v>
      </c>
      <c r="C84" s="120">
        <v>5071724</v>
      </c>
      <c r="D84" s="119">
        <f>_xlfn.COMPOUNDVALUE(950)</f>
        <v>862</v>
      </c>
      <c r="E84" s="120">
        <v>379121</v>
      </c>
      <c r="F84" s="119">
        <f>_xlfn.COMPOUNDVALUE(951)</f>
        <v>2241</v>
      </c>
      <c r="G84" s="120">
        <v>5450845</v>
      </c>
      <c r="H84" s="119">
        <f>_xlfn.COMPOUNDVALUE(952)</f>
        <v>73</v>
      </c>
      <c r="I84" s="121">
        <v>465832</v>
      </c>
      <c r="J84" s="119">
        <v>167</v>
      </c>
      <c r="K84" s="121">
        <v>19489</v>
      </c>
      <c r="L84" s="119">
        <v>2334</v>
      </c>
      <c r="M84" s="121">
        <v>5004502</v>
      </c>
      <c r="N84" s="119">
        <v>2477</v>
      </c>
      <c r="O84" s="122">
        <v>61</v>
      </c>
      <c r="P84" s="122">
        <v>4</v>
      </c>
      <c r="Q84" s="123">
        <v>2542</v>
      </c>
      <c r="R84" s="14" t="s">
        <v>93</v>
      </c>
    </row>
    <row r="85" spans="1:18" s="17" customFormat="1" ht="18.75" customHeight="1">
      <c r="A85" s="15" t="s">
        <v>94</v>
      </c>
      <c r="B85" s="124">
        <v>70696</v>
      </c>
      <c r="C85" s="125">
        <v>390463130</v>
      </c>
      <c r="D85" s="124">
        <v>39200</v>
      </c>
      <c r="E85" s="125">
        <v>19588798</v>
      </c>
      <c r="F85" s="124">
        <v>109896</v>
      </c>
      <c r="G85" s="125">
        <v>410051929</v>
      </c>
      <c r="H85" s="124">
        <v>8424</v>
      </c>
      <c r="I85" s="126">
        <v>75364134</v>
      </c>
      <c r="J85" s="124">
        <v>8088</v>
      </c>
      <c r="K85" s="126">
        <v>1889834</v>
      </c>
      <c r="L85" s="124">
        <v>120215</v>
      </c>
      <c r="M85" s="126">
        <v>336577629</v>
      </c>
      <c r="N85" s="124">
        <v>122300</v>
      </c>
      <c r="O85" s="127">
        <v>4372</v>
      </c>
      <c r="P85" s="127">
        <v>403</v>
      </c>
      <c r="Q85" s="128">
        <v>127075</v>
      </c>
      <c r="R85" s="16" t="s">
        <v>126</v>
      </c>
    </row>
    <row r="86" spans="1:18" s="30" customFormat="1" ht="18.75" customHeight="1">
      <c r="A86" s="23"/>
      <c r="B86" s="129"/>
      <c r="C86" s="130"/>
      <c r="D86" s="129"/>
      <c r="E86" s="130"/>
      <c r="F86" s="131"/>
      <c r="G86" s="130"/>
      <c r="H86" s="131"/>
      <c r="I86" s="130"/>
      <c r="J86" s="131"/>
      <c r="K86" s="130"/>
      <c r="L86" s="131"/>
      <c r="M86" s="130"/>
      <c r="N86" s="132"/>
      <c r="O86" s="133"/>
      <c r="P86" s="133"/>
      <c r="Q86" s="134"/>
      <c r="R86" s="36" t="s">
        <v>122</v>
      </c>
    </row>
    <row r="87" spans="1:18" ht="18.75" customHeight="1">
      <c r="A87" s="13" t="s">
        <v>95</v>
      </c>
      <c r="B87" s="119">
        <f>_xlfn.COMPOUNDVALUE(953)</f>
        <v>7250</v>
      </c>
      <c r="C87" s="120">
        <v>25702086</v>
      </c>
      <c r="D87" s="119">
        <f>_xlfn.COMPOUNDVALUE(954)</f>
        <v>4222</v>
      </c>
      <c r="E87" s="120">
        <v>2090172</v>
      </c>
      <c r="F87" s="119">
        <f>_xlfn.COMPOUNDVALUE(955)</f>
        <v>11472</v>
      </c>
      <c r="G87" s="120">
        <v>27792258</v>
      </c>
      <c r="H87" s="119">
        <f>_xlfn.COMPOUNDVALUE(956)</f>
        <v>780</v>
      </c>
      <c r="I87" s="121">
        <v>6265560</v>
      </c>
      <c r="J87" s="119">
        <v>916</v>
      </c>
      <c r="K87" s="121">
        <v>146265</v>
      </c>
      <c r="L87" s="119">
        <v>12461</v>
      </c>
      <c r="M87" s="121">
        <v>21672963</v>
      </c>
      <c r="N87" s="138">
        <v>12874</v>
      </c>
      <c r="O87" s="139">
        <v>397</v>
      </c>
      <c r="P87" s="139">
        <v>43</v>
      </c>
      <c r="Q87" s="140">
        <v>13314</v>
      </c>
      <c r="R87" s="25" t="s">
        <v>95</v>
      </c>
    </row>
    <row r="88" spans="1:18" ht="18.75" customHeight="1">
      <c r="A88" s="13" t="s">
        <v>96</v>
      </c>
      <c r="B88" s="119">
        <f>_xlfn.COMPOUNDVALUE(957)</f>
        <v>5831</v>
      </c>
      <c r="C88" s="120">
        <v>17397649</v>
      </c>
      <c r="D88" s="119">
        <f>_xlfn.COMPOUNDVALUE(958)</f>
        <v>3095</v>
      </c>
      <c r="E88" s="120">
        <v>1423502</v>
      </c>
      <c r="F88" s="119">
        <f>_xlfn.COMPOUNDVALUE(959)</f>
        <v>8926</v>
      </c>
      <c r="G88" s="120">
        <v>18821150</v>
      </c>
      <c r="H88" s="119">
        <f>_xlfn.COMPOUNDVALUE(960)</f>
        <v>481</v>
      </c>
      <c r="I88" s="121">
        <v>1650454</v>
      </c>
      <c r="J88" s="119">
        <v>477</v>
      </c>
      <c r="K88" s="121">
        <v>117797</v>
      </c>
      <c r="L88" s="119">
        <v>9520</v>
      </c>
      <c r="M88" s="121">
        <v>17288493</v>
      </c>
      <c r="N88" s="119">
        <v>9453</v>
      </c>
      <c r="O88" s="122">
        <v>269</v>
      </c>
      <c r="P88" s="122">
        <v>29</v>
      </c>
      <c r="Q88" s="123">
        <v>9751</v>
      </c>
      <c r="R88" s="14" t="s">
        <v>96</v>
      </c>
    </row>
    <row r="89" spans="1:18" ht="18.75" customHeight="1">
      <c r="A89" s="13" t="s">
        <v>97</v>
      </c>
      <c r="B89" s="119">
        <f>_xlfn.COMPOUNDVALUE(961)</f>
        <v>2084</v>
      </c>
      <c r="C89" s="120">
        <v>5543556</v>
      </c>
      <c r="D89" s="119">
        <f>_xlfn.COMPOUNDVALUE(962)</f>
        <v>868</v>
      </c>
      <c r="E89" s="120">
        <v>367695</v>
      </c>
      <c r="F89" s="119">
        <f>_xlfn.COMPOUNDVALUE(963)</f>
        <v>2952</v>
      </c>
      <c r="G89" s="120">
        <v>5911251</v>
      </c>
      <c r="H89" s="119">
        <f>_xlfn.COMPOUNDVALUE(964)</f>
        <v>124</v>
      </c>
      <c r="I89" s="121">
        <v>394150</v>
      </c>
      <c r="J89" s="119">
        <v>245</v>
      </c>
      <c r="K89" s="121">
        <v>53902</v>
      </c>
      <c r="L89" s="119">
        <v>3114</v>
      </c>
      <c r="M89" s="121">
        <v>5571003</v>
      </c>
      <c r="N89" s="119">
        <v>3278</v>
      </c>
      <c r="O89" s="122">
        <v>68</v>
      </c>
      <c r="P89" s="122">
        <v>9</v>
      </c>
      <c r="Q89" s="123">
        <v>3355</v>
      </c>
      <c r="R89" s="14" t="s">
        <v>97</v>
      </c>
    </row>
    <row r="90" spans="1:18" ht="18.75" customHeight="1">
      <c r="A90" s="13" t="s">
        <v>98</v>
      </c>
      <c r="B90" s="119">
        <f>_xlfn.COMPOUNDVALUE(965)</f>
        <v>813</v>
      </c>
      <c r="C90" s="120">
        <v>2070052</v>
      </c>
      <c r="D90" s="119">
        <f>_xlfn.COMPOUNDVALUE(966)</f>
        <v>540</v>
      </c>
      <c r="E90" s="120">
        <v>212890</v>
      </c>
      <c r="F90" s="119">
        <f>_xlfn.COMPOUNDVALUE(967)</f>
        <v>1353</v>
      </c>
      <c r="G90" s="120">
        <v>2282942</v>
      </c>
      <c r="H90" s="119">
        <f>_xlfn.COMPOUNDVALUE(968)</f>
        <v>38</v>
      </c>
      <c r="I90" s="121">
        <v>296492</v>
      </c>
      <c r="J90" s="119">
        <v>95</v>
      </c>
      <c r="K90" s="121">
        <v>14173</v>
      </c>
      <c r="L90" s="119">
        <v>1407</v>
      </c>
      <c r="M90" s="121">
        <v>2000623</v>
      </c>
      <c r="N90" s="119">
        <v>1591</v>
      </c>
      <c r="O90" s="122">
        <v>27</v>
      </c>
      <c r="P90" s="122">
        <v>7</v>
      </c>
      <c r="Q90" s="123">
        <v>1625</v>
      </c>
      <c r="R90" s="14" t="s">
        <v>98</v>
      </c>
    </row>
    <row r="91" spans="1:18" s="17" customFormat="1" ht="18.75" customHeight="1">
      <c r="A91" s="15" t="s">
        <v>99</v>
      </c>
      <c r="B91" s="124">
        <v>15978</v>
      </c>
      <c r="C91" s="125">
        <v>50713343</v>
      </c>
      <c r="D91" s="124">
        <v>8725</v>
      </c>
      <c r="E91" s="125">
        <v>4094258</v>
      </c>
      <c r="F91" s="124">
        <v>24703</v>
      </c>
      <c r="G91" s="125">
        <v>54807601</v>
      </c>
      <c r="H91" s="124">
        <v>1423</v>
      </c>
      <c r="I91" s="126">
        <v>8606656</v>
      </c>
      <c r="J91" s="124">
        <v>1733</v>
      </c>
      <c r="K91" s="126">
        <v>332137</v>
      </c>
      <c r="L91" s="124">
        <v>26502</v>
      </c>
      <c r="M91" s="126">
        <v>46533081</v>
      </c>
      <c r="N91" s="124">
        <v>27196</v>
      </c>
      <c r="O91" s="127">
        <v>761</v>
      </c>
      <c r="P91" s="127">
        <v>88</v>
      </c>
      <c r="Q91" s="128">
        <v>28045</v>
      </c>
      <c r="R91" s="16" t="s">
        <v>127</v>
      </c>
    </row>
    <row r="92" spans="1:18" s="30" customFormat="1" ht="18.75" customHeight="1">
      <c r="A92" s="23"/>
      <c r="B92" s="129"/>
      <c r="C92" s="130"/>
      <c r="D92" s="129"/>
      <c r="E92" s="130"/>
      <c r="F92" s="131"/>
      <c r="G92" s="130"/>
      <c r="H92" s="131"/>
      <c r="I92" s="130"/>
      <c r="J92" s="131"/>
      <c r="K92" s="130"/>
      <c r="L92" s="131"/>
      <c r="M92" s="130"/>
      <c r="N92" s="141"/>
      <c r="O92" s="142"/>
      <c r="P92" s="142"/>
      <c r="Q92" s="143"/>
      <c r="R92" s="34" t="s">
        <v>122</v>
      </c>
    </row>
    <row r="93" spans="1:18" ht="18.75" customHeight="1">
      <c r="A93" s="11" t="s">
        <v>100</v>
      </c>
      <c r="B93" s="114">
        <f>_xlfn.COMPOUNDVALUE(969)</f>
        <v>5668</v>
      </c>
      <c r="C93" s="115">
        <v>27996746</v>
      </c>
      <c r="D93" s="114">
        <f>_xlfn.COMPOUNDVALUE(970)</f>
        <v>3022</v>
      </c>
      <c r="E93" s="115">
        <v>1499511</v>
      </c>
      <c r="F93" s="114">
        <f>_xlfn.COMPOUNDVALUE(971)</f>
        <v>8690</v>
      </c>
      <c r="G93" s="115">
        <v>29496257</v>
      </c>
      <c r="H93" s="114">
        <f>_xlfn.COMPOUNDVALUE(972)</f>
        <v>329</v>
      </c>
      <c r="I93" s="116">
        <v>1959113</v>
      </c>
      <c r="J93" s="114">
        <v>625</v>
      </c>
      <c r="K93" s="116">
        <v>98212</v>
      </c>
      <c r="L93" s="114">
        <v>9190</v>
      </c>
      <c r="M93" s="116">
        <v>27635356</v>
      </c>
      <c r="N93" s="138">
        <v>9055</v>
      </c>
      <c r="O93" s="139">
        <v>172</v>
      </c>
      <c r="P93" s="139">
        <v>25</v>
      </c>
      <c r="Q93" s="140">
        <v>9252</v>
      </c>
      <c r="R93" s="25" t="s">
        <v>100</v>
      </c>
    </row>
    <row r="94" spans="1:18" ht="18.75" customHeight="1">
      <c r="A94" s="13" t="s">
        <v>101</v>
      </c>
      <c r="B94" s="119">
        <f>_xlfn.COMPOUNDVALUE(973)</f>
        <v>1048</v>
      </c>
      <c r="C94" s="120">
        <v>3699197</v>
      </c>
      <c r="D94" s="119">
        <f>_xlfn.COMPOUNDVALUE(974)</f>
        <v>635</v>
      </c>
      <c r="E94" s="120">
        <v>249048</v>
      </c>
      <c r="F94" s="119">
        <f>_xlfn.COMPOUNDVALUE(975)</f>
        <v>1683</v>
      </c>
      <c r="G94" s="120">
        <v>3948245</v>
      </c>
      <c r="H94" s="119">
        <f>_xlfn.COMPOUNDVALUE(976)</f>
        <v>49</v>
      </c>
      <c r="I94" s="121">
        <v>129176</v>
      </c>
      <c r="J94" s="119">
        <v>134</v>
      </c>
      <c r="K94" s="121">
        <v>16350</v>
      </c>
      <c r="L94" s="119">
        <v>1760</v>
      </c>
      <c r="M94" s="121">
        <v>3835419</v>
      </c>
      <c r="N94" s="114">
        <v>1718</v>
      </c>
      <c r="O94" s="117">
        <v>32</v>
      </c>
      <c r="P94" s="117">
        <v>2</v>
      </c>
      <c r="Q94" s="135">
        <v>1752</v>
      </c>
      <c r="R94" s="12" t="s">
        <v>101</v>
      </c>
    </row>
    <row r="95" spans="1:18" ht="18.75" customHeight="1">
      <c r="A95" s="13" t="s">
        <v>102</v>
      </c>
      <c r="B95" s="119">
        <f>_xlfn.COMPOUNDVALUE(977)</f>
        <v>1203</v>
      </c>
      <c r="C95" s="120">
        <v>3184322</v>
      </c>
      <c r="D95" s="119">
        <f>_xlfn.COMPOUNDVALUE(978)</f>
        <v>1205</v>
      </c>
      <c r="E95" s="120">
        <v>454913</v>
      </c>
      <c r="F95" s="119">
        <f>_xlfn.COMPOUNDVALUE(979)</f>
        <v>2408</v>
      </c>
      <c r="G95" s="120">
        <v>3639235</v>
      </c>
      <c r="H95" s="119">
        <f>_xlfn.COMPOUNDVALUE(980)</f>
        <v>73</v>
      </c>
      <c r="I95" s="121">
        <v>153116</v>
      </c>
      <c r="J95" s="119">
        <v>166</v>
      </c>
      <c r="K95" s="121">
        <v>18529</v>
      </c>
      <c r="L95" s="119">
        <v>2515</v>
      </c>
      <c r="M95" s="121">
        <v>3504649</v>
      </c>
      <c r="N95" s="114">
        <v>2529</v>
      </c>
      <c r="O95" s="117">
        <v>45</v>
      </c>
      <c r="P95" s="117">
        <v>6</v>
      </c>
      <c r="Q95" s="135">
        <v>2580</v>
      </c>
      <c r="R95" s="12" t="s">
        <v>102</v>
      </c>
    </row>
    <row r="96" spans="1:18" ht="18.75" customHeight="1">
      <c r="A96" s="13" t="s">
        <v>103</v>
      </c>
      <c r="B96" s="119">
        <f>_xlfn.COMPOUNDVALUE(981)</f>
        <v>1883</v>
      </c>
      <c r="C96" s="120">
        <v>5654897</v>
      </c>
      <c r="D96" s="119">
        <f>_xlfn.COMPOUNDVALUE(982)</f>
        <v>1470</v>
      </c>
      <c r="E96" s="120">
        <v>638490</v>
      </c>
      <c r="F96" s="119">
        <f>_xlfn.COMPOUNDVALUE(983)</f>
        <v>3353</v>
      </c>
      <c r="G96" s="120">
        <v>6293387</v>
      </c>
      <c r="H96" s="119">
        <f>_xlfn.COMPOUNDVALUE(984)</f>
        <v>67</v>
      </c>
      <c r="I96" s="121">
        <v>89867</v>
      </c>
      <c r="J96" s="119">
        <v>190</v>
      </c>
      <c r="K96" s="121">
        <v>39522</v>
      </c>
      <c r="L96" s="119">
        <v>3452</v>
      </c>
      <c r="M96" s="121">
        <v>6243043</v>
      </c>
      <c r="N96" s="114">
        <v>3725</v>
      </c>
      <c r="O96" s="117">
        <v>73</v>
      </c>
      <c r="P96" s="117">
        <v>4</v>
      </c>
      <c r="Q96" s="135">
        <v>3802</v>
      </c>
      <c r="R96" s="12" t="s">
        <v>103</v>
      </c>
    </row>
    <row r="97" spans="1:18" ht="18.75" customHeight="1">
      <c r="A97" s="13" t="s">
        <v>104</v>
      </c>
      <c r="B97" s="119">
        <f>_xlfn.COMPOUNDVALUE(985)</f>
        <v>1168</v>
      </c>
      <c r="C97" s="120">
        <v>2566319</v>
      </c>
      <c r="D97" s="119">
        <f>_xlfn.COMPOUNDVALUE(986)</f>
        <v>731</v>
      </c>
      <c r="E97" s="120">
        <v>292737</v>
      </c>
      <c r="F97" s="119">
        <f>_xlfn.COMPOUNDVALUE(987)</f>
        <v>1899</v>
      </c>
      <c r="G97" s="120">
        <v>2859056</v>
      </c>
      <c r="H97" s="119">
        <f>_xlfn.COMPOUNDVALUE(988)</f>
        <v>53</v>
      </c>
      <c r="I97" s="121">
        <v>228761</v>
      </c>
      <c r="J97" s="119">
        <v>137</v>
      </c>
      <c r="K97" s="121">
        <v>30063</v>
      </c>
      <c r="L97" s="119">
        <v>1972</v>
      </c>
      <c r="M97" s="121">
        <v>2660358</v>
      </c>
      <c r="N97" s="114">
        <v>2052</v>
      </c>
      <c r="O97" s="117">
        <v>33</v>
      </c>
      <c r="P97" s="117">
        <v>5</v>
      </c>
      <c r="Q97" s="135">
        <v>2090</v>
      </c>
      <c r="R97" s="12" t="s">
        <v>104</v>
      </c>
    </row>
    <row r="98" spans="1:18" ht="18.75" customHeight="1">
      <c r="A98" s="13" t="s">
        <v>105</v>
      </c>
      <c r="B98" s="119">
        <f>_xlfn.COMPOUNDVALUE(989)</f>
        <v>2275</v>
      </c>
      <c r="C98" s="120">
        <v>6622556</v>
      </c>
      <c r="D98" s="119">
        <f>_xlfn.COMPOUNDVALUE(990)</f>
        <v>1384</v>
      </c>
      <c r="E98" s="120">
        <v>616634</v>
      </c>
      <c r="F98" s="119">
        <f>_xlfn.COMPOUNDVALUE(991)</f>
        <v>3659</v>
      </c>
      <c r="G98" s="120">
        <v>7239190</v>
      </c>
      <c r="H98" s="119">
        <f>_xlfn.COMPOUNDVALUE(992)</f>
        <v>123</v>
      </c>
      <c r="I98" s="121">
        <v>536708</v>
      </c>
      <c r="J98" s="119">
        <v>226</v>
      </c>
      <c r="K98" s="121">
        <v>26530</v>
      </c>
      <c r="L98" s="119">
        <v>3852</v>
      </c>
      <c r="M98" s="121">
        <v>6729012</v>
      </c>
      <c r="N98" s="114">
        <v>3795</v>
      </c>
      <c r="O98" s="117">
        <v>85</v>
      </c>
      <c r="P98" s="117">
        <v>12</v>
      </c>
      <c r="Q98" s="135">
        <v>3892</v>
      </c>
      <c r="R98" s="12" t="s">
        <v>105</v>
      </c>
    </row>
    <row r="99" spans="1:18" ht="18.75" customHeight="1">
      <c r="A99" s="13" t="s">
        <v>106</v>
      </c>
      <c r="B99" s="119">
        <f>_xlfn.COMPOUNDVALUE(993)</f>
        <v>1174</v>
      </c>
      <c r="C99" s="120">
        <v>4073802</v>
      </c>
      <c r="D99" s="119">
        <f>_xlfn.COMPOUNDVALUE(994)</f>
        <v>1346</v>
      </c>
      <c r="E99" s="120">
        <v>497624</v>
      </c>
      <c r="F99" s="119">
        <f>_xlfn.COMPOUNDVALUE(995)</f>
        <v>2520</v>
      </c>
      <c r="G99" s="120">
        <v>4571426</v>
      </c>
      <c r="H99" s="119">
        <f>_xlfn.COMPOUNDVALUE(996)</f>
        <v>69</v>
      </c>
      <c r="I99" s="121">
        <v>113408</v>
      </c>
      <c r="J99" s="119">
        <v>154</v>
      </c>
      <c r="K99" s="121">
        <v>31242</v>
      </c>
      <c r="L99" s="119">
        <v>2629</v>
      </c>
      <c r="M99" s="121">
        <v>4489261</v>
      </c>
      <c r="N99" s="114">
        <v>2687</v>
      </c>
      <c r="O99" s="117">
        <v>43</v>
      </c>
      <c r="P99" s="117">
        <v>3</v>
      </c>
      <c r="Q99" s="135">
        <v>2733</v>
      </c>
      <c r="R99" s="12" t="s">
        <v>106</v>
      </c>
    </row>
    <row r="100" spans="1:18" ht="18.75" customHeight="1">
      <c r="A100" s="15" t="s">
        <v>107</v>
      </c>
      <c r="B100" s="124">
        <v>14419</v>
      </c>
      <c r="C100" s="125">
        <v>53797839</v>
      </c>
      <c r="D100" s="124">
        <v>9793</v>
      </c>
      <c r="E100" s="125">
        <v>4248958</v>
      </c>
      <c r="F100" s="124">
        <v>24212</v>
      </c>
      <c r="G100" s="125">
        <v>58046797</v>
      </c>
      <c r="H100" s="124">
        <v>763</v>
      </c>
      <c r="I100" s="126">
        <v>3210149</v>
      </c>
      <c r="J100" s="124">
        <v>1632</v>
      </c>
      <c r="K100" s="126">
        <v>260448</v>
      </c>
      <c r="L100" s="124">
        <v>25370</v>
      </c>
      <c r="M100" s="126">
        <v>55097097</v>
      </c>
      <c r="N100" s="124">
        <v>25561</v>
      </c>
      <c r="O100" s="127">
        <v>483</v>
      </c>
      <c r="P100" s="127">
        <v>57</v>
      </c>
      <c r="Q100" s="128">
        <v>26101</v>
      </c>
      <c r="R100" s="16" t="s">
        <v>128</v>
      </c>
    </row>
    <row r="101" spans="1:18" ht="18.75" customHeight="1" thickBot="1">
      <c r="A101" s="18"/>
      <c r="B101" s="144"/>
      <c r="C101" s="145"/>
      <c r="D101" s="144"/>
      <c r="E101" s="145"/>
      <c r="F101" s="146"/>
      <c r="G101" s="145"/>
      <c r="H101" s="146"/>
      <c r="I101" s="145"/>
      <c r="J101" s="146"/>
      <c r="K101" s="145"/>
      <c r="L101" s="146"/>
      <c r="M101" s="145"/>
      <c r="N101" s="141"/>
      <c r="O101" s="142"/>
      <c r="P101" s="142"/>
      <c r="Q101" s="143"/>
      <c r="R101" s="34" t="s">
        <v>122</v>
      </c>
    </row>
    <row r="102" spans="1:18" ht="18.75" customHeight="1" thickBot="1" thickTop="1">
      <c r="A102" s="21" t="s">
        <v>121</v>
      </c>
      <c r="B102" s="147">
        <v>315511</v>
      </c>
      <c r="C102" s="148">
        <v>2166349373</v>
      </c>
      <c r="D102" s="147">
        <v>162397</v>
      </c>
      <c r="E102" s="148">
        <v>82035421</v>
      </c>
      <c r="F102" s="147">
        <v>477908</v>
      </c>
      <c r="G102" s="148">
        <v>2248384795</v>
      </c>
      <c r="H102" s="147">
        <v>33277</v>
      </c>
      <c r="I102" s="149">
        <v>542733626</v>
      </c>
      <c r="J102" s="147">
        <v>33208</v>
      </c>
      <c r="K102" s="149">
        <v>6786811</v>
      </c>
      <c r="L102" s="147">
        <v>519322</v>
      </c>
      <c r="M102" s="149">
        <v>1712437979</v>
      </c>
      <c r="N102" s="150">
        <v>530634</v>
      </c>
      <c r="O102" s="151">
        <v>16202</v>
      </c>
      <c r="P102" s="151">
        <v>2104</v>
      </c>
      <c r="Q102" s="152">
        <v>548940</v>
      </c>
      <c r="R102" s="35" t="s">
        <v>121</v>
      </c>
    </row>
    <row r="103" spans="1:11" ht="13.5">
      <c r="A103" s="193" t="s">
        <v>178</v>
      </c>
      <c r="B103" s="193"/>
      <c r="C103" s="193"/>
      <c r="D103" s="193"/>
      <c r="E103" s="193"/>
      <c r="F103" s="193"/>
      <c r="G103" s="193"/>
      <c r="H103" s="193"/>
      <c r="I103" s="193"/>
      <c r="J103" s="193"/>
      <c r="K103" s="193"/>
    </row>
  </sheetData>
  <sheetProtection/>
  <mergeCells count="16">
    <mergeCell ref="A2:I2"/>
    <mergeCell ref="A3:A5"/>
    <mergeCell ref="B3:G3"/>
    <mergeCell ref="H3:I4"/>
    <mergeCell ref="R3:R5"/>
    <mergeCell ref="B4:C4"/>
    <mergeCell ref="D4:E4"/>
    <mergeCell ref="F4:G4"/>
    <mergeCell ref="N4:N5"/>
    <mergeCell ref="A103:K103"/>
    <mergeCell ref="O4:O5"/>
    <mergeCell ref="P4:P5"/>
    <mergeCell ref="Q4:Q5"/>
    <mergeCell ref="J3:K4"/>
    <mergeCell ref="L3:M4"/>
    <mergeCell ref="N3:Q3"/>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8" r:id="rId1"/>
  <headerFooter alignWithMargins="0">
    <oddFooter>&amp;R&amp;12大阪国税局
消費税
(H27)</oddFooter>
  </headerFooter>
  <rowBreaks count="2" manualBreakCount="2">
    <brk id="38"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2017-06-21T02:27:24Z</cp:lastPrinted>
  <dcterms:created xsi:type="dcterms:W3CDTF">2011-12-09T10:59:54Z</dcterms:created>
  <dcterms:modified xsi:type="dcterms:W3CDTF">2017-06-21T02:29:30Z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