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20" windowHeight="8325" activeTab="0"/>
  </bookViews>
  <sheets>
    <sheet name="(1)　課税状況" sheetId="1" r:id="rId1"/>
    <sheet name="(2)　課税状況の累年比較" sheetId="2" r:id="rId2"/>
    <sheet name="(3)　課税事業者等届出件数" sheetId="3" r:id="rId3"/>
    <sheet name="(4)税務署別課税状況(個人事業者）" sheetId="4" r:id="rId4"/>
    <sheet name="(4)税務署別課税状況（法人）" sheetId="5" r:id="rId5"/>
    <sheet name="(4)税務署別課税状況（合計）" sheetId="6" r:id="rId6"/>
  </sheets>
  <definedNames>
    <definedName name="_xlfn.COMPOUNDVALUE" hidden="1">#NAME?</definedName>
    <definedName name="_xlnm.Print_Area" localSheetId="3">'(4)税務署別課税状況(個人事業者）'!$A$1:$N$103</definedName>
    <definedName name="_xlnm.Print_Titles" localSheetId="3">'(4)税務署別課税状況(個人事業者）'!$3:$6</definedName>
    <definedName name="_xlnm.Print_Titles" localSheetId="5">'(4)税務署別課税状況（合計）'!$3:$6</definedName>
    <definedName name="_xlnm.Print_Titles" localSheetId="4">'(4)税務署別課税状況（法人）'!$3:$6</definedName>
  </definedNames>
  <calcPr fullCalcOnLoad="1"/>
</workbook>
</file>

<file path=xl/sharedStrings.xml><?xml version="1.0" encoding="utf-8"?>
<sst xmlns="http://schemas.openxmlformats.org/spreadsheetml/2006/main" count="744" uniqueCount="185">
  <si>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</si>
  <si>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</si>
  <si>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</si>
  <si>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</si>
  <si>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</si>
  <si>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</si>
  <si>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</si>
  <si>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</si>
  <si>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</si>
  <si>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</si>
  <si>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</si>
  <si>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</si>
  <si>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</si>
  <si>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</si>
  <si>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</si>
  <si>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</si>
  <si>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</si>
  <si>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</si>
  <si>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</si>
  <si>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</si>
  <si>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</si>
  <si>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</si>
  <si>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</si>
  <si>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</si>
  <si>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</si>
  <si>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</si>
  <si>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</si>
  <si>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</si>
  <si>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</si>
  <si>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</si>
  <si>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</si>
  <si>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</si>
  <si>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</si>
  <si>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</si>
  <si>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</si>
  <si>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</si>
  <si>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</si>
  <si>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</si>
  <si>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</si>
  <si>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</si>
  <si>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</si>
  <si>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</si>
  <si>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</si>
  <si>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</si>
  <si>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</si>
  <si>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</si>
  <si>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</si>
  <si>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</si>
  <si>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</si>
  <si>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</si>
  <si>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</si>
  <si>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</si>
  <si>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</si>
  <si>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</si>
  <si>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</si>
  <si>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</si>
  <si>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</si>
  <si>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</si>
  <si>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</si>
  <si>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</si>
  <si>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</si>
  <si>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</si>
  <si>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</si>
  <si>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</si>
  <si>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</si>
  <si>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</si>
  <si>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</si>
  <si>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</si>
  <si>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</si>
  <si>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</si>
  <si>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</si>
  <si>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</si>
  <si>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</si>
  <si>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</si>
  <si>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</si>
  <si>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</si>
  <si>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</si>
  <si>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</si>
  <si>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</si>
  <si>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</si>
  <si>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</si>
  <si>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</si>
  <si>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</si>
  <si>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</si>
  <si>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</si>
  <si>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</si>
  <si>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</si>
  <si>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</si>
  <si>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</si>
  <si>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</si>
  <si>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</si>
  <si>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</si>
  <si>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</si>
  <si>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</si>
  <si>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</si>
  <si>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</si>
  <si>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</si>
  <si>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</si>
  <si>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</si>
  <si>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</si>
  <si>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</si>
  <si>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</si>
  <si>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</si>
  <si>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</si>
  <si>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</si>
  <si>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</si>
  <si>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</si>
  <si>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</si>
  <si>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(4)　税務署別課税状況（続）</t>
  </si>
  <si>
    <t>　ロ　法　　　人</t>
  </si>
  <si>
    <t>税務署名</t>
  </si>
  <si>
    <t>総　計</t>
  </si>
  <si>
    <t>滋賀県計</t>
  </si>
  <si>
    <t>京都府計</t>
  </si>
  <si>
    <t>大阪府計</t>
  </si>
  <si>
    <t>兵庫県計</t>
  </si>
  <si>
    <t>奈良県計</t>
  </si>
  <si>
    <t>和歌山県計</t>
  </si>
  <si>
    <t>　ハ　個人事業者と法人の合計</t>
  </si>
  <si>
    <t>課　税　事　業　者　等　届　出　件　数</t>
  </si>
  <si>
    <t>課税事業者
届出</t>
  </si>
  <si>
    <t>課税事業者
選択届出</t>
  </si>
  <si>
    <t>新設法人に
該当する旨
の届出</t>
  </si>
  <si>
    <t>合　　　計</t>
  </si>
  <si>
    <t>件数</t>
  </si>
  <si>
    <t>件数</t>
  </si>
  <si>
    <t>税　　　額
(①－②＋③)</t>
  </si>
  <si>
    <t>税　　　額
(①－②＋③)</t>
  </si>
  <si>
    <t>税　　額
(①－②＋③)</t>
  </si>
  <si>
    <t>総　計</t>
  </si>
  <si>
    <t/>
  </si>
  <si>
    <t>滋賀県計</t>
  </si>
  <si>
    <t>京都府計</t>
  </si>
  <si>
    <t>大阪府計</t>
  </si>
  <si>
    <t>兵庫県計</t>
  </si>
  <si>
    <t>奈良県計</t>
  </si>
  <si>
    <t>和歌山県計</t>
  </si>
  <si>
    <t>（注）この表は「(1)　課税状況」の現年分を税務署別に示したものである（加算税を除く。）。</t>
  </si>
  <si>
    <t>（注）この表は「(1)　課税状況」の現年分及び「(3)　課税事業者等届出件数」を税務署別に示したものである（加算税を除く。）。</t>
  </si>
  <si>
    <t>７　消　費　税</t>
  </si>
  <si>
    <t>(1)　課税状況</t>
  </si>
  <si>
    <t>区　　　分</t>
  </si>
  <si>
    <t>個　人　事　業　者</t>
  </si>
  <si>
    <t>法　　　　　人</t>
  </si>
  <si>
    <t>合　　　　　計</t>
  </si>
  <si>
    <t>件　　　数</t>
  </si>
  <si>
    <t>税　　　額</t>
  </si>
  <si>
    <t>件</t>
  </si>
  <si>
    <t>千円</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</si>
  <si>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</si>
  <si>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</si>
  <si>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</si>
  <si>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</si>
  <si>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</si>
  <si>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</si>
  <si>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</si>
  <si>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</si>
  <si>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差引計</t>
  </si>
  <si>
    <t>実</t>
  </si>
  <si>
    <t>加算税</t>
  </si>
  <si>
    <t>調査対象等：</t>
  </si>
  <si>
    <t>（注）１</t>
  </si>
  <si>
    <t>税関分は含まない。</t>
  </si>
  <si>
    <t>　　　２</t>
  </si>
  <si>
    <t>「件数欄」の「実」は、実件数を示す。</t>
  </si>
  <si>
    <t>(2)　課税状況の累年比較</t>
  </si>
  <si>
    <t>法　　　　　　　人</t>
  </si>
  <si>
    <t>合　　　　　　　計</t>
  </si>
  <si>
    <t>件　　数</t>
  </si>
  <si>
    <t>税　　額</t>
  </si>
  <si>
    <t>納税申告計</t>
  </si>
  <si>
    <t>平成22年度</t>
  </si>
  <si>
    <t>平成23年度</t>
  </si>
  <si>
    <t>(3)　課税事業者等届出件数</t>
  </si>
  <si>
    <t>課税事業者届出書</t>
  </si>
  <si>
    <t>課税事業者選択届出書</t>
  </si>
  <si>
    <t>新設法人に該当する旨の届出書</t>
  </si>
  <si>
    <t>合計</t>
  </si>
  <si>
    <t>（注）納税義務者でなくなった旨の届出書又は課税事業者選択不適用届出書を提出した者は含まない。</t>
  </si>
  <si>
    <t>「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</si>
  <si>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</si>
  <si>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平成20年度</t>
  </si>
  <si>
    <t>平成21年度</t>
  </si>
  <si>
    <t>平成24年度</t>
  </si>
  <si>
    <t>調査対象等：平成24年度末（平成25年３月31日現在）の届出件数を示している。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</si>
</sst>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hair"/>
      <top/>
      <bottom style="hair">
        <color indexed="55"/>
      </bottom>
    </border>
    <border>
      <left style="hair"/>
      <right style="thin"/>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hair"/>
      <top/>
      <bottom style="medium"/>
    </border>
    <border>
      <left style="hair"/>
      <right style="thin"/>
      <top/>
      <bottom style="medium"/>
    </border>
    <border>
      <left style="hair"/>
      <right/>
      <top/>
      <bottom style="medium"/>
    </border>
    <border>
      <left style="thin"/>
      <right style="medium"/>
      <top/>
      <bottom style="medium"/>
    </border>
    <border>
      <left style="medium"/>
      <right/>
      <top style="thin">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hair"/>
      <right style="hair"/>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medium"/>
      <top style="thin">
        <color indexed="23"/>
      </top>
      <bottom style="thin">
        <color indexed="23"/>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hair"/>
      <right style="hair"/>
      <top style="hair">
        <color indexed="55"/>
      </top>
      <bottom style="hair">
        <color indexed="55"/>
      </bottom>
    </border>
    <border>
      <left style="thin"/>
      <right style="hair"/>
      <top style="hair"/>
      <bottom style="thin"/>
    </border>
    <border>
      <left style="hair"/>
      <right/>
      <top style="hair"/>
      <bottom style="thin"/>
    </border>
    <border>
      <left style="thin"/>
      <right style="hair"/>
      <top style="thin">
        <color indexed="55"/>
      </top>
      <bottom style="double"/>
    </border>
    <border>
      <left style="hair"/>
      <right style="thin"/>
      <top style="thin">
        <color indexed="55"/>
      </top>
      <bottom style="double"/>
    </border>
    <border>
      <left style="thin"/>
      <right/>
      <top style="thin">
        <color indexed="55"/>
      </top>
      <bottom style="double"/>
    </border>
    <border>
      <left style="hair"/>
      <right style="medium"/>
      <top style="thin"/>
      <bottom/>
    </border>
    <border>
      <left style="thin"/>
      <right style="hair"/>
      <top/>
      <bottom/>
    </border>
    <border>
      <left style="hair"/>
      <right style="medium"/>
      <top/>
      <bottom style="hair">
        <color indexed="55"/>
      </bottom>
    </border>
    <border>
      <left style="hair"/>
      <right style="medium"/>
      <top style="hair">
        <color indexed="55"/>
      </top>
      <bottom style="hair">
        <color indexed="55"/>
      </bottom>
    </border>
    <border>
      <left style="hair"/>
      <right style="thin"/>
      <top style="hair">
        <color indexed="55"/>
      </top>
      <bottom style="thin"/>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thin"/>
      <top style="thin"/>
      <bottom style="hair">
        <color indexed="55"/>
      </bottom>
    </border>
    <border>
      <left style="hair"/>
      <right style="hair"/>
      <top style="thin"/>
      <bottom style="hair">
        <color indexed="55"/>
      </bottom>
    </border>
    <border>
      <left style="hair"/>
      <right style="medium"/>
      <top style="thin"/>
      <bottom style="hair">
        <color indexed="55"/>
      </bottom>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medium"/>
      <top/>
      <bottom style="medium"/>
    </border>
    <border>
      <left/>
      <right/>
      <top style="medium"/>
      <bottom/>
    </border>
    <border>
      <left/>
      <right style="thin"/>
      <top style="thin"/>
      <bottom/>
    </border>
    <border>
      <left/>
      <right style="medium"/>
      <top style="thin"/>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bottom style="medium"/>
    </border>
    <border>
      <left style="thin"/>
      <right style="thin"/>
      <top/>
      <bottom style="medium"/>
    </border>
    <border>
      <left style="thin"/>
      <right/>
      <top/>
      <bottom style="medium"/>
    </border>
    <border>
      <left>
        <color indexed="63"/>
      </left>
      <right style="hair"/>
      <top/>
      <bottom style="hair">
        <color indexed="55"/>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hair"/>
      <bottom style="thin"/>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thin"/>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222">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176" fontId="3" fillId="34" borderId="16" xfId="60" applyNumberFormat="1" applyFont="1" applyFill="1" applyBorder="1" applyAlignment="1">
      <alignment horizontal="right" vertical="center"/>
      <protection/>
    </xf>
    <xf numFmtId="176" fontId="3" fillId="35" borderId="17" xfId="60" applyNumberFormat="1" applyFont="1" applyFill="1" applyBorder="1" applyAlignment="1">
      <alignment horizontal="right" vertical="center"/>
      <protection/>
    </xf>
    <xf numFmtId="176" fontId="3" fillId="35" borderId="18" xfId="60" applyNumberFormat="1" applyFont="1" applyFill="1" applyBorder="1" applyAlignment="1">
      <alignment horizontal="right" vertical="center"/>
      <protection/>
    </xf>
    <xf numFmtId="0" fontId="3" fillId="36" borderId="19" xfId="60" applyFont="1" applyFill="1" applyBorder="1" applyAlignment="1">
      <alignment horizontal="distributed" vertical="center"/>
      <protection/>
    </xf>
    <xf numFmtId="0" fontId="3" fillId="36" borderId="20" xfId="60" applyFont="1" applyFill="1" applyBorder="1" applyAlignment="1">
      <alignment horizontal="distributed" vertical="center"/>
      <protection/>
    </xf>
    <xf numFmtId="176" fontId="3" fillId="34" borderId="21" xfId="60" applyNumberFormat="1" applyFont="1" applyFill="1" applyBorder="1" applyAlignment="1">
      <alignment horizontal="right" vertical="center"/>
      <protection/>
    </xf>
    <xf numFmtId="176" fontId="3" fillId="35" borderId="22" xfId="60" applyNumberFormat="1" applyFont="1" applyFill="1" applyBorder="1" applyAlignment="1">
      <alignment horizontal="right" vertical="center"/>
      <protection/>
    </xf>
    <xf numFmtId="176" fontId="3" fillId="35" borderId="23" xfId="60" applyNumberFormat="1" applyFont="1" applyFill="1" applyBorder="1" applyAlignment="1">
      <alignment horizontal="right" vertical="center"/>
      <protection/>
    </xf>
    <xf numFmtId="0" fontId="3" fillId="36" borderId="24" xfId="60" applyFont="1" applyFill="1" applyBorder="1" applyAlignment="1">
      <alignment horizontal="distributed" vertical="center"/>
      <protection/>
    </xf>
    <xf numFmtId="0" fontId="8" fillId="36" borderId="25" xfId="60" applyFont="1" applyFill="1" applyBorder="1" applyAlignment="1">
      <alignment horizontal="distributed" vertical="center"/>
      <protection/>
    </xf>
    <xf numFmtId="176" fontId="8" fillId="34" borderId="26" xfId="60" applyNumberFormat="1" applyFont="1" applyFill="1" applyBorder="1" applyAlignment="1">
      <alignment horizontal="right" vertical="center"/>
      <protection/>
    </xf>
    <xf numFmtId="176" fontId="8" fillId="35" borderId="27" xfId="60" applyNumberFormat="1" applyFont="1" applyFill="1" applyBorder="1" applyAlignment="1">
      <alignment horizontal="right" vertical="center"/>
      <protection/>
    </xf>
    <xf numFmtId="176" fontId="8" fillId="35" borderId="28" xfId="60" applyNumberFormat="1" applyFont="1" applyFill="1" applyBorder="1" applyAlignment="1">
      <alignment horizontal="right" vertical="center"/>
      <protection/>
    </xf>
    <xf numFmtId="0" fontId="8" fillId="36" borderId="29" xfId="60" applyFont="1" applyFill="1" applyBorder="1" applyAlignment="1">
      <alignment horizontal="distributed" vertical="center"/>
      <protection/>
    </xf>
    <xf numFmtId="0" fontId="9" fillId="0" borderId="0" xfId="60" applyFont="1">
      <alignment/>
      <protection/>
    </xf>
    <xf numFmtId="0" fontId="10" fillId="0" borderId="30" xfId="60" applyFont="1" applyFill="1" applyBorder="1" applyAlignment="1">
      <alignment horizontal="distributed" vertical="center"/>
      <protection/>
    </xf>
    <xf numFmtId="0" fontId="10" fillId="0" borderId="31" xfId="60" applyFont="1" applyFill="1" applyBorder="1" applyAlignment="1">
      <alignment horizontal="center" vertical="center"/>
      <protection/>
    </xf>
    <xf numFmtId="0" fontId="11" fillId="0" borderId="0" xfId="60" applyFont="1" applyFill="1">
      <alignment/>
      <protection/>
    </xf>
    <xf numFmtId="0" fontId="8" fillId="0" borderId="32" xfId="60" applyFont="1" applyBorder="1" applyAlignment="1">
      <alignment horizontal="center" vertical="center"/>
      <protection/>
    </xf>
    <xf numFmtId="176" fontId="8" fillId="34" borderId="33" xfId="60" applyNumberFormat="1" applyFont="1" applyFill="1" applyBorder="1" applyAlignment="1">
      <alignment horizontal="right" vertical="center"/>
      <protection/>
    </xf>
    <xf numFmtId="176" fontId="8" fillId="35" borderId="34" xfId="60" applyNumberFormat="1" applyFont="1" applyFill="1" applyBorder="1" applyAlignment="1">
      <alignment horizontal="right" vertical="center"/>
      <protection/>
    </xf>
    <xf numFmtId="176" fontId="8" fillId="35" borderId="35" xfId="60" applyNumberFormat="1" applyFont="1" applyFill="1" applyBorder="1" applyAlignment="1">
      <alignment horizontal="right" vertical="center"/>
      <protection/>
    </xf>
    <xf numFmtId="0" fontId="8" fillId="0" borderId="36" xfId="60" applyFont="1" applyBorder="1" applyAlignment="1">
      <alignment horizontal="center" vertical="center"/>
      <protection/>
    </xf>
    <xf numFmtId="0" fontId="10" fillId="0" borderId="37" xfId="60" applyFont="1" applyFill="1" applyBorder="1" applyAlignment="1">
      <alignment horizontal="distributed" vertical="center"/>
      <protection/>
    </xf>
    <xf numFmtId="176" fontId="10" fillId="0" borderId="38" xfId="60" applyNumberFormat="1" applyFont="1" applyFill="1" applyBorder="1" applyAlignment="1">
      <alignment horizontal="right" vertical="center"/>
      <protection/>
    </xf>
    <xf numFmtId="176" fontId="10" fillId="0" borderId="39" xfId="60" applyNumberFormat="1" applyFont="1" applyFill="1" applyBorder="1" applyAlignment="1">
      <alignment horizontal="right" vertical="center"/>
      <protection/>
    </xf>
    <xf numFmtId="176" fontId="10" fillId="0" borderId="40" xfId="60" applyNumberFormat="1" applyFont="1" applyFill="1" applyBorder="1" applyAlignment="1">
      <alignment horizontal="right" vertical="center"/>
      <protection/>
    </xf>
    <xf numFmtId="0" fontId="10" fillId="0" borderId="41" xfId="60" applyFont="1" applyFill="1" applyBorder="1" applyAlignment="1">
      <alignment horizontal="center" vertical="center"/>
      <protection/>
    </xf>
    <xf numFmtId="0" fontId="3" fillId="36" borderId="42" xfId="60" applyFont="1" applyFill="1" applyBorder="1" applyAlignment="1">
      <alignment horizontal="distributed" vertical="center"/>
      <protection/>
    </xf>
    <xf numFmtId="176" fontId="10" fillId="0" borderId="37" xfId="60" applyNumberFormat="1"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43" xfId="60" applyFont="1" applyBorder="1" applyAlignment="1">
      <alignment horizontal="center" vertical="center" wrapText="1"/>
      <protection/>
    </xf>
    <xf numFmtId="0" fontId="5" fillId="34" borderId="44" xfId="60" applyFont="1" applyFill="1" applyBorder="1" applyAlignment="1">
      <alignment horizontal="right" vertical="top"/>
      <protection/>
    </xf>
    <xf numFmtId="0" fontId="5" fillId="34" borderId="13" xfId="60" applyFont="1" applyFill="1" applyBorder="1" applyAlignment="1">
      <alignment horizontal="right" vertical="top"/>
      <protection/>
    </xf>
    <xf numFmtId="176" fontId="3" fillId="34" borderId="45" xfId="60" applyNumberFormat="1" applyFont="1" applyFill="1" applyBorder="1" applyAlignment="1">
      <alignment horizontal="right" vertical="center"/>
      <protection/>
    </xf>
    <xf numFmtId="176" fontId="3" fillId="34" borderId="18" xfId="60" applyNumberFormat="1" applyFont="1" applyFill="1" applyBorder="1" applyAlignment="1">
      <alignment horizontal="right" vertical="center"/>
      <protection/>
    </xf>
    <xf numFmtId="176" fontId="3" fillId="0" borderId="46" xfId="60" applyNumberFormat="1" applyFont="1" applyFill="1" applyBorder="1" applyAlignment="1">
      <alignment horizontal="right" vertical="center"/>
      <protection/>
    </xf>
    <xf numFmtId="176" fontId="3" fillId="0" borderId="47" xfId="60" applyNumberFormat="1" applyFont="1" applyFill="1" applyBorder="1" applyAlignment="1">
      <alignment horizontal="right" vertical="center"/>
      <protection/>
    </xf>
    <xf numFmtId="176" fontId="3" fillId="0" borderId="48" xfId="60" applyNumberFormat="1" applyFont="1" applyFill="1" applyBorder="1" applyAlignment="1">
      <alignment horizontal="right" vertical="center"/>
      <protection/>
    </xf>
    <xf numFmtId="0" fontId="10" fillId="0" borderId="49" xfId="60" applyFont="1" applyFill="1" applyBorder="1" applyAlignment="1">
      <alignment horizontal="center" vertical="center"/>
      <protection/>
    </xf>
    <xf numFmtId="176" fontId="8" fillId="34" borderId="50" xfId="60" applyNumberFormat="1" applyFont="1" applyFill="1" applyBorder="1" applyAlignment="1">
      <alignment horizontal="right" vertical="center"/>
      <protection/>
    </xf>
    <xf numFmtId="176" fontId="8" fillId="34" borderId="51" xfId="60" applyNumberFormat="1" applyFont="1" applyFill="1" applyBorder="1" applyAlignment="1">
      <alignment horizontal="right" vertical="center"/>
      <protection/>
    </xf>
    <xf numFmtId="176" fontId="8" fillId="34" borderId="52" xfId="60" applyNumberFormat="1" applyFont="1" applyFill="1" applyBorder="1" applyAlignment="1">
      <alignment horizontal="right" vertical="center"/>
      <protection/>
    </xf>
    <xf numFmtId="0" fontId="8" fillId="0" borderId="53" xfId="60" applyFont="1" applyBorder="1" applyAlignment="1">
      <alignment horizontal="center" vertical="center"/>
      <protection/>
    </xf>
    <xf numFmtId="176" fontId="8" fillId="34" borderId="54" xfId="60" applyNumberFormat="1" applyFont="1" applyFill="1" applyBorder="1" applyAlignment="1">
      <alignment horizontal="right" vertical="center"/>
      <protection/>
    </xf>
    <xf numFmtId="176" fontId="8" fillId="34" borderId="28" xfId="60" applyNumberFormat="1" applyFont="1" applyFill="1" applyBorder="1" applyAlignment="1">
      <alignment horizontal="right" vertical="center"/>
      <protection/>
    </xf>
    <xf numFmtId="176" fontId="3" fillId="0" borderId="55" xfId="60" applyNumberFormat="1" applyFont="1" applyFill="1" applyBorder="1" applyAlignment="1">
      <alignment horizontal="right" vertical="center"/>
      <protection/>
    </xf>
    <xf numFmtId="176" fontId="3" fillId="0" borderId="56" xfId="60" applyNumberFormat="1" applyFont="1" applyFill="1" applyBorder="1" applyAlignment="1">
      <alignment horizontal="right" vertical="center"/>
      <protection/>
    </xf>
    <xf numFmtId="176" fontId="3" fillId="0" borderId="57" xfId="60" applyNumberFormat="1" applyFont="1" applyFill="1" applyBorder="1" applyAlignment="1">
      <alignment horizontal="right" vertical="center"/>
      <protection/>
    </xf>
    <xf numFmtId="0" fontId="10" fillId="0" borderId="58" xfId="60" applyFont="1" applyFill="1" applyBorder="1" applyAlignment="1">
      <alignment horizontal="center" vertical="center"/>
      <protection/>
    </xf>
    <xf numFmtId="176" fontId="3" fillId="34" borderId="59" xfId="60" applyNumberFormat="1" applyFont="1" applyFill="1" applyBorder="1" applyAlignment="1">
      <alignment horizontal="right" vertical="center"/>
      <protection/>
    </xf>
    <xf numFmtId="176" fontId="3" fillId="34" borderId="60" xfId="60" applyNumberFormat="1" applyFont="1" applyFill="1" applyBorder="1" applyAlignment="1">
      <alignment horizontal="right" vertical="center"/>
      <protection/>
    </xf>
    <xf numFmtId="176" fontId="3" fillId="34" borderId="61" xfId="60" applyNumberFormat="1" applyFont="1" applyFill="1" applyBorder="1" applyAlignment="1">
      <alignment horizontal="right" vertical="center"/>
      <protection/>
    </xf>
    <xf numFmtId="176" fontId="3" fillId="34" borderId="62" xfId="60" applyNumberFormat="1" applyFont="1" applyFill="1" applyBorder="1" applyAlignment="1">
      <alignment horizontal="right" vertical="center"/>
      <protection/>
    </xf>
    <xf numFmtId="176" fontId="3" fillId="34" borderId="23" xfId="60" applyNumberFormat="1" applyFont="1" applyFill="1" applyBorder="1" applyAlignment="1">
      <alignment horizontal="right" vertical="center"/>
      <protection/>
    </xf>
    <xf numFmtId="0" fontId="3" fillId="0" borderId="63" xfId="60" applyFont="1" applyBorder="1" applyAlignment="1">
      <alignment horizontal="distributed" vertical="center" indent="1"/>
      <protection/>
    </xf>
    <xf numFmtId="0" fontId="3" fillId="0" borderId="43" xfId="60" applyFont="1" applyBorder="1" applyAlignment="1">
      <alignment horizontal="distributed" vertical="center" indent="1"/>
      <protection/>
    </xf>
    <xf numFmtId="0" fontId="3" fillId="0" borderId="64" xfId="60" applyFont="1" applyBorder="1" applyAlignment="1">
      <alignment horizontal="centerContinuous" vertical="center" wrapText="1"/>
      <protection/>
    </xf>
    <xf numFmtId="176" fontId="3" fillId="0" borderId="65" xfId="60" applyNumberFormat="1" applyFont="1" applyFill="1" applyBorder="1" applyAlignment="1">
      <alignment horizontal="right" vertical="center"/>
      <protection/>
    </xf>
    <xf numFmtId="176" fontId="3" fillId="0" borderId="66" xfId="60" applyNumberFormat="1" applyFont="1" applyFill="1" applyBorder="1" applyAlignment="1">
      <alignment horizontal="right" vertical="center"/>
      <protection/>
    </xf>
    <xf numFmtId="176" fontId="3" fillId="0" borderId="67" xfId="60" applyNumberFormat="1" applyFont="1" applyFill="1" applyBorder="1" applyAlignment="1">
      <alignment horizontal="right" vertical="center"/>
      <protection/>
    </xf>
    <xf numFmtId="0" fontId="3" fillId="0" borderId="64" xfId="60" applyFont="1" applyBorder="1" applyAlignment="1">
      <alignment horizontal="center" vertical="center"/>
      <protection/>
    </xf>
    <xf numFmtId="0" fontId="3" fillId="0" borderId="43" xfId="60" applyFont="1" applyBorder="1" applyAlignment="1">
      <alignment horizontal="center" vertical="center"/>
      <protection/>
    </xf>
    <xf numFmtId="176" fontId="2" fillId="0" borderId="0" xfId="60" applyNumberFormat="1" applyFont="1">
      <alignment/>
      <protection/>
    </xf>
    <xf numFmtId="176" fontId="3" fillId="34" borderId="17" xfId="60" applyNumberFormat="1" applyFont="1" applyFill="1" applyBorder="1" applyAlignment="1">
      <alignment horizontal="right" vertical="center"/>
      <protection/>
    </xf>
    <xf numFmtId="0" fontId="12"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68"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68" xfId="60" applyFont="1" applyFill="1" applyBorder="1" applyAlignment="1">
      <alignment horizontal="right" vertical="top"/>
      <protection/>
    </xf>
    <xf numFmtId="0" fontId="3" fillId="0" borderId="17" xfId="60" applyFont="1" applyBorder="1" applyAlignment="1">
      <alignment horizontal="distributed" vertical="center"/>
      <protection/>
    </xf>
    <xf numFmtId="0" fontId="3" fillId="0" borderId="69" xfId="60" applyFont="1" applyBorder="1" applyAlignment="1">
      <alignment horizontal="right" vertical="center"/>
      <protection/>
    </xf>
    <xf numFmtId="3" fontId="3" fillId="34" borderId="45" xfId="60" applyNumberFormat="1" applyFont="1" applyFill="1" applyBorder="1" applyAlignment="1">
      <alignment horizontal="right" vertical="center"/>
      <protection/>
    </xf>
    <xf numFmtId="3" fontId="3" fillId="35" borderId="17" xfId="60" applyNumberFormat="1" applyFont="1" applyFill="1" applyBorder="1" applyAlignment="1">
      <alignment horizontal="right" vertical="center"/>
      <protection/>
    </xf>
    <xf numFmtId="3" fontId="3" fillId="0" borderId="69" xfId="60" applyNumberFormat="1" applyFont="1" applyBorder="1" applyAlignment="1">
      <alignment horizontal="right" vertical="center"/>
      <protection/>
    </xf>
    <xf numFmtId="3" fontId="3" fillId="35" borderId="70" xfId="60" applyNumberFormat="1" applyFont="1" applyFill="1" applyBorder="1" applyAlignment="1">
      <alignment horizontal="right" vertical="center"/>
      <protection/>
    </xf>
    <xf numFmtId="0" fontId="3" fillId="0" borderId="22" xfId="60" applyFont="1" applyBorder="1" applyAlignment="1">
      <alignment horizontal="distributed" vertical="center"/>
      <protection/>
    </xf>
    <xf numFmtId="3" fontId="3" fillId="34" borderId="62" xfId="60" applyNumberFormat="1" applyFont="1" applyFill="1" applyBorder="1" applyAlignment="1">
      <alignment horizontal="right" vertical="center"/>
      <protection/>
    </xf>
    <xf numFmtId="3" fontId="3" fillId="35" borderId="22" xfId="60" applyNumberFormat="1" applyFont="1" applyFill="1" applyBorder="1" applyAlignment="1">
      <alignment horizontal="right" vertical="center"/>
      <protection/>
    </xf>
    <xf numFmtId="3" fontId="3" fillId="35" borderId="71" xfId="60" applyNumberFormat="1" applyFont="1" applyFill="1" applyBorder="1" applyAlignment="1">
      <alignment horizontal="right" vertical="center"/>
      <protection/>
    </xf>
    <xf numFmtId="0" fontId="8" fillId="0" borderId="22" xfId="60" applyFont="1" applyBorder="1" applyAlignment="1">
      <alignment horizontal="distributed" vertical="center"/>
      <protection/>
    </xf>
    <xf numFmtId="0" fontId="8" fillId="0" borderId="69" xfId="60" applyFont="1" applyBorder="1" applyAlignment="1">
      <alignment horizontal="right" vertical="center"/>
      <protection/>
    </xf>
    <xf numFmtId="3" fontId="8" fillId="34" borderId="62" xfId="60" applyNumberFormat="1" applyFont="1" applyFill="1" applyBorder="1" applyAlignment="1">
      <alignment horizontal="right" vertical="center"/>
      <protection/>
    </xf>
    <xf numFmtId="3" fontId="8" fillId="35" borderId="22" xfId="60" applyNumberFormat="1" applyFont="1" applyFill="1" applyBorder="1" applyAlignment="1">
      <alignment horizontal="right" vertical="center"/>
      <protection/>
    </xf>
    <xf numFmtId="3" fontId="8" fillId="35" borderId="71" xfId="60" applyNumberFormat="1" applyFont="1" applyFill="1" applyBorder="1" applyAlignment="1">
      <alignment horizontal="right" vertical="center"/>
      <protection/>
    </xf>
    <xf numFmtId="0" fontId="8" fillId="0" borderId="0" xfId="60" applyFont="1" applyAlignment="1">
      <alignment horizontal="left" vertical="top"/>
      <protection/>
    </xf>
    <xf numFmtId="0" fontId="3" fillId="0" borderId="72" xfId="60" applyFont="1" applyBorder="1" applyAlignment="1">
      <alignment horizontal="distributed" vertical="center"/>
      <protection/>
    </xf>
    <xf numFmtId="3" fontId="3" fillId="34" borderId="73" xfId="60" applyNumberFormat="1" applyFont="1" applyFill="1" applyBorder="1" applyAlignment="1">
      <alignment horizontal="right" vertical="center"/>
      <protection/>
    </xf>
    <xf numFmtId="3" fontId="3" fillId="35" borderId="74" xfId="60" applyNumberFormat="1" applyFont="1" applyFill="1" applyBorder="1" applyAlignment="1">
      <alignment horizontal="right" vertical="center"/>
      <protection/>
    </xf>
    <xf numFmtId="3" fontId="3" fillId="35" borderId="75" xfId="60" applyNumberFormat="1" applyFont="1" applyFill="1" applyBorder="1" applyAlignment="1">
      <alignment horizontal="right" vertical="center"/>
      <protection/>
    </xf>
    <xf numFmtId="0" fontId="3" fillId="0" borderId="76"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4" borderId="77" xfId="60" applyNumberFormat="1" applyFont="1" applyFill="1" applyBorder="1" applyAlignment="1">
      <alignment horizontal="right" vertical="center"/>
      <protection/>
    </xf>
    <xf numFmtId="3" fontId="3" fillId="35" borderId="76"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4" borderId="77" xfId="60" applyNumberFormat="1" applyFont="1" applyFill="1" applyBorder="1" applyAlignment="1">
      <alignment vertical="center"/>
      <protection/>
    </xf>
    <xf numFmtId="3" fontId="3" fillId="35" borderId="78" xfId="60" applyNumberFormat="1" applyFont="1" applyFill="1" applyBorder="1" applyAlignment="1">
      <alignment horizontal="right" vertical="center"/>
      <protection/>
    </xf>
    <xf numFmtId="0" fontId="3" fillId="0" borderId="22" xfId="60" applyFont="1" applyBorder="1" applyAlignment="1">
      <alignment horizontal="distributed" vertical="center" wrapText="1"/>
      <protection/>
    </xf>
    <xf numFmtId="0" fontId="3" fillId="0" borderId="69" xfId="60" applyFont="1" applyBorder="1" applyAlignment="1">
      <alignment horizontal="center" vertical="center"/>
      <protection/>
    </xf>
    <xf numFmtId="3" fontId="3" fillId="0" borderId="69" xfId="60" applyNumberFormat="1" applyFont="1" applyBorder="1" applyAlignment="1">
      <alignment horizontal="center" vertical="center"/>
      <protection/>
    </xf>
    <xf numFmtId="3" fontId="3" fillId="34" borderId="62" xfId="60" applyNumberFormat="1" applyFont="1" applyFill="1" applyBorder="1" applyAlignment="1">
      <alignment vertical="center"/>
      <protection/>
    </xf>
    <xf numFmtId="0" fontId="8" fillId="0" borderId="79" xfId="60" applyFont="1" applyBorder="1" applyAlignment="1">
      <alignment horizontal="right" vertical="center"/>
      <protection/>
    </xf>
    <xf numFmtId="3" fontId="8" fillId="34" borderId="80" xfId="60" applyNumberFormat="1" applyFont="1" applyFill="1" applyBorder="1" applyAlignment="1">
      <alignment horizontal="right" vertical="center"/>
      <protection/>
    </xf>
    <xf numFmtId="3" fontId="8" fillId="35" borderId="81" xfId="60" applyNumberFormat="1" applyFont="1" applyFill="1" applyBorder="1" applyAlignment="1">
      <alignment horizontal="right" vertical="center"/>
      <protection/>
    </xf>
    <xf numFmtId="3" fontId="8" fillId="35" borderId="82" xfId="60" applyNumberFormat="1" applyFont="1" applyFill="1" applyBorder="1" applyAlignment="1">
      <alignment horizontal="right" vertical="center"/>
      <protection/>
    </xf>
    <xf numFmtId="0" fontId="3" fillId="0" borderId="33" xfId="60" applyFont="1" applyBorder="1" applyAlignment="1">
      <alignment horizontal="right" vertical="center"/>
      <protection/>
    </xf>
    <xf numFmtId="3" fontId="3" fillId="34" borderId="83" xfId="60" applyNumberFormat="1" applyFont="1" applyFill="1" applyBorder="1" applyAlignment="1">
      <alignment horizontal="right" vertical="center"/>
      <protection/>
    </xf>
    <xf numFmtId="3" fontId="3" fillId="35" borderId="34" xfId="60" applyNumberFormat="1" applyFont="1" applyFill="1" applyBorder="1" applyAlignment="1">
      <alignment horizontal="right" vertical="center"/>
      <protection/>
    </xf>
    <xf numFmtId="3" fontId="3" fillId="0" borderId="33" xfId="60" applyNumberFormat="1" applyFont="1" applyBorder="1" applyAlignment="1">
      <alignment horizontal="right" vertical="center"/>
      <protection/>
    </xf>
    <xf numFmtId="3" fontId="3" fillId="35" borderId="84" xfId="60" applyNumberFormat="1" applyFont="1" applyFill="1" applyBorder="1" applyAlignment="1">
      <alignment horizontal="right" vertical="center"/>
      <protection/>
    </xf>
    <xf numFmtId="0" fontId="3" fillId="0" borderId="85" xfId="60" applyFont="1" applyBorder="1" applyAlignment="1">
      <alignment horizontal="left" vertical="top" wrapText="1"/>
      <protection/>
    </xf>
    <xf numFmtId="0" fontId="3" fillId="0" borderId="0" xfId="60" applyFont="1" applyAlignment="1" quotePrefix="1">
      <alignment horizontal="left" vertical="top"/>
      <protection/>
    </xf>
    <xf numFmtId="0" fontId="3" fillId="0" borderId="86"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68" xfId="60" applyFont="1" applyFill="1" applyBorder="1" applyAlignment="1">
      <alignment horizontal="right"/>
      <protection/>
    </xf>
    <xf numFmtId="0" fontId="3" fillId="0" borderId="0" xfId="60" applyFont="1" applyAlignment="1">
      <alignment horizontal="left"/>
      <protection/>
    </xf>
    <xf numFmtId="3" fontId="3" fillId="34" borderId="16"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88" xfId="60" applyNumberFormat="1" applyFont="1" applyFill="1" applyBorder="1" applyAlignment="1">
      <alignment horizontal="right" vertical="center"/>
      <protection/>
    </xf>
    <xf numFmtId="3" fontId="3" fillId="35" borderId="72" xfId="60" applyNumberFormat="1" applyFont="1" applyFill="1" applyBorder="1" applyAlignment="1">
      <alignment horizontal="right" vertical="center"/>
      <protection/>
    </xf>
    <xf numFmtId="3" fontId="3" fillId="35" borderId="89" xfId="60" applyNumberFormat="1" applyFont="1" applyFill="1" applyBorder="1" applyAlignment="1">
      <alignment horizontal="right" vertical="center"/>
      <protection/>
    </xf>
    <xf numFmtId="0" fontId="3" fillId="0" borderId="76" xfId="60" applyFont="1" applyBorder="1" applyAlignment="1">
      <alignment horizontal="distributed" vertical="center"/>
      <protection/>
    </xf>
    <xf numFmtId="3" fontId="3" fillId="34" borderId="90" xfId="60" applyNumberFormat="1" applyFont="1" applyFill="1" applyBorder="1" applyAlignment="1">
      <alignment horizontal="right" vertical="center"/>
      <protection/>
    </xf>
    <xf numFmtId="0" fontId="3" fillId="0" borderId="91" xfId="60" applyFont="1" applyBorder="1" applyAlignment="1">
      <alignment horizontal="distributed" vertical="center"/>
      <protection/>
    </xf>
    <xf numFmtId="3" fontId="3" fillId="34" borderId="92" xfId="60" applyNumberFormat="1" applyFont="1" applyFill="1" applyBorder="1" applyAlignment="1">
      <alignment horizontal="right" vertical="center"/>
      <protection/>
    </xf>
    <xf numFmtId="3" fontId="3" fillId="35" borderId="91" xfId="60" applyNumberFormat="1" applyFont="1" applyFill="1" applyBorder="1" applyAlignment="1">
      <alignment horizontal="right" vertical="center"/>
      <protection/>
    </xf>
    <xf numFmtId="3" fontId="3" fillId="35" borderId="93" xfId="60" applyNumberFormat="1" applyFont="1" applyFill="1" applyBorder="1" applyAlignment="1">
      <alignment horizontal="right" vertical="center"/>
      <protection/>
    </xf>
    <xf numFmtId="3" fontId="3" fillId="0" borderId="0" xfId="60" applyNumberFormat="1" applyFont="1" applyAlignment="1">
      <alignment horizontal="left" vertical="top"/>
      <protection/>
    </xf>
    <xf numFmtId="0" fontId="3" fillId="0" borderId="94" xfId="60" applyFont="1" applyBorder="1" applyAlignment="1">
      <alignment horizontal="distributed" vertical="center"/>
      <protection/>
    </xf>
    <xf numFmtId="0" fontId="3" fillId="0" borderId="95" xfId="60" applyFont="1" applyBorder="1" applyAlignment="1">
      <alignment horizontal="distributed"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distributed" vertical="center" indent="1"/>
      <protection/>
    </xf>
    <xf numFmtId="0" fontId="5" fillId="34" borderId="98" xfId="60" applyFont="1" applyFill="1" applyBorder="1" applyAlignment="1">
      <alignment horizontal="right"/>
      <protection/>
    </xf>
    <xf numFmtId="0" fontId="5" fillId="34" borderId="99" xfId="60" applyFont="1" applyFill="1" applyBorder="1" applyAlignment="1">
      <alignment horizontal="right"/>
      <protection/>
    </xf>
    <xf numFmtId="0" fontId="5" fillId="34" borderId="100" xfId="60" applyFont="1" applyFill="1" applyBorder="1" applyAlignment="1">
      <alignment horizontal="right"/>
      <protection/>
    </xf>
    <xf numFmtId="0" fontId="5" fillId="34" borderId="14" xfId="60" applyFont="1" applyFill="1" applyBorder="1" applyAlignment="1">
      <alignment horizontal="right"/>
      <protection/>
    </xf>
    <xf numFmtId="3" fontId="3" fillId="34" borderId="101" xfId="60" applyNumberFormat="1" applyFont="1" applyFill="1" applyBorder="1" applyAlignment="1">
      <alignment horizontal="right" vertical="center" indent="1"/>
      <protection/>
    </xf>
    <xf numFmtId="3" fontId="3" fillId="34" borderId="102" xfId="60" applyNumberFormat="1" applyFont="1" applyFill="1" applyBorder="1" applyAlignment="1">
      <alignment horizontal="right" vertical="center" indent="1"/>
      <protection/>
    </xf>
    <xf numFmtId="3" fontId="3" fillId="34" borderId="103" xfId="60" applyNumberFormat="1" applyFont="1" applyFill="1" applyBorder="1" applyAlignment="1">
      <alignment horizontal="right" vertical="center" indent="1"/>
      <protection/>
    </xf>
    <xf numFmtId="3" fontId="3" fillId="34" borderId="36" xfId="60" applyNumberFormat="1" applyFont="1" applyFill="1" applyBorder="1" applyAlignment="1">
      <alignment horizontal="right" vertical="center" indent="1"/>
      <protection/>
    </xf>
    <xf numFmtId="3" fontId="3" fillId="0" borderId="0" xfId="60" applyNumberFormat="1" applyFont="1" applyAlignment="1">
      <alignment horizontal="left" vertical="center"/>
      <protection/>
    </xf>
    <xf numFmtId="176" fontId="3" fillId="28" borderId="18" xfId="60" applyNumberFormat="1" applyFont="1" applyFill="1" applyBorder="1" applyAlignment="1">
      <alignment horizontal="right" vertical="center"/>
      <protection/>
    </xf>
    <xf numFmtId="176" fontId="3" fillId="34" borderId="104" xfId="60" applyNumberFormat="1" applyFont="1" applyFill="1" applyBorder="1" applyAlignment="1">
      <alignment horizontal="right" vertical="center"/>
      <protection/>
    </xf>
    <xf numFmtId="0" fontId="3" fillId="0" borderId="105" xfId="60" applyFont="1" applyBorder="1" applyAlignment="1">
      <alignment horizontal="distributed" vertical="center" wrapText="1"/>
      <protection/>
    </xf>
    <xf numFmtId="0" fontId="3" fillId="0" borderId="105" xfId="60" applyFont="1" applyBorder="1" applyAlignment="1">
      <alignment horizontal="distributed" vertical="center"/>
      <protection/>
    </xf>
    <xf numFmtId="0" fontId="3" fillId="0" borderId="106" xfId="60" applyFont="1" applyBorder="1" applyAlignment="1">
      <alignment horizontal="distributed" vertical="center"/>
      <protection/>
    </xf>
    <xf numFmtId="0" fontId="3" fillId="0" borderId="107" xfId="60" applyFont="1" applyBorder="1" applyAlignment="1">
      <alignment horizontal="distributed" vertical="center" wrapText="1"/>
      <protection/>
    </xf>
    <xf numFmtId="0" fontId="3" fillId="0" borderId="108" xfId="60" applyFont="1" applyBorder="1" applyAlignment="1">
      <alignment horizontal="distributed" vertical="center"/>
      <protection/>
    </xf>
    <xf numFmtId="0" fontId="8" fillId="0" borderId="109" xfId="60" applyFont="1" applyBorder="1" applyAlignment="1">
      <alignment horizontal="distributed" vertical="center"/>
      <protection/>
    </xf>
    <xf numFmtId="0" fontId="8" fillId="0" borderId="110" xfId="60" applyFont="1" applyBorder="1" applyAlignment="1">
      <alignment horizontal="distributed" vertical="center"/>
      <protection/>
    </xf>
    <xf numFmtId="0" fontId="3" fillId="0" borderId="32" xfId="60" applyFont="1" applyBorder="1" applyAlignment="1">
      <alignment horizontal="distributed" vertical="center"/>
      <protection/>
    </xf>
    <xf numFmtId="0" fontId="3" fillId="0" borderId="111" xfId="60" applyFont="1" applyBorder="1" applyAlignment="1">
      <alignment horizontal="distributed" vertical="center"/>
      <protection/>
    </xf>
    <xf numFmtId="0" fontId="3" fillId="0" borderId="85" xfId="60" applyFont="1" applyBorder="1" applyAlignment="1">
      <alignment horizontal="left" vertical="top" wrapText="1"/>
      <protection/>
    </xf>
    <xf numFmtId="0" fontId="3" fillId="0" borderId="0" xfId="60" applyFont="1" applyAlignment="1">
      <alignment horizontal="left" vertical="top" wrapText="1"/>
      <protection/>
    </xf>
    <xf numFmtId="0" fontId="12" fillId="0" borderId="0" xfId="60" applyFont="1" applyAlignment="1">
      <alignment horizontal="center" vertical="top"/>
      <protection/>
    </xf>
    <xf numFmtId="0" fontId="3" fillId="0" borderId="0" xfId="60" applyFont="1" applyAlignment="1">
      <alignment horizontal="left" vertical="top"/>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center" vertical="center"/>
      <protection/>
    </xf>
    <xf numFmtId="0" fontId="3" fillId="0" borderId="116" xfId="60" applyFont="1" applyBorder="1" applyAlignment="1">
      <alignment horizontal="center"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107"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85" xfId="60" applyFont="1" applyBorder="1" applyAlignment="1">
      <alignment horizontal="left" vertical="center"/>
      <protection/>
    </xf>
    <xf numFmtId="0" fontId="3" fillId="0" borderId="0" xfId="60" applyFont="1" applyAlignment="1">
      <alignment horizontal="left" vertical="center"/>
      <protection/>
    </xf>
    <xf numFmtId="0" fontId="3" fillId="0" borderId="112" xfId="60" applyFont="1" applyBorder="1" applyAlignment="1">
      <alignment horizontal="distributed" vertical="center"/>
      <protection/>
    </xf>
    <xf numFmtId="0" fontId="3" fillId="0" borderId="114" xfId="60" applyFont="1" applyBorder="1" applyAlignment="1">
      <alignment horizontal="distributed" vertical="center"/>
      <protection/>
    </xf>
    <xf numFmtId="0" fontId="3" fillId="0" borderId="126" xfId="60" applyFont="1" applyBorder="1" applyAlignment="1">
      <alignment horizontal="distributed" vertical="center"/>
      <protection/>
    </xf>
    <xf numFmtId="0" fontId="3" fillId="0" borderId="127"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130" xfId="60" applyFont="1" applyBorder="1" applyAlignment="1">
      <alignment horizontal="center" vertical="center"/>
      <protection/>
    </xf>
    <xf numFmtId="0" fontId="3" fillId="0" borderId="131" xfId="60" applyFont="1" applyBorder="1" applyAlignment="1">
      <alignment horizontal="center" vertical="center"/>
      <protection/>
    </xf>
    <xf numFmtId="0" fontId="3" fillId="0" borderId="97" xfId="60" applyFont="1" applyBorder="1" applyAlignment="1">
      <alignment horizontal="distributed" vertical="center" wrapText="1"/>
      <protection/>
    </xf>
    <xf numFmtId="0" fontId="3" fillId="0" borderId="132" xfId="60" applyFont="1" applyBorder="1" applyAlignment="1">
      <alignment horizontal="distributed" vertical="center" wrapText="1"/>
      <protection/>
    </xf>
    <xf numFmtId="0" fontId="3" fillId="0" borderId="133" xfId="60" applyFont="1" applyBorder="1" applyAlignment="1">
      <alignment horizontal="distributed" vertical="center" wrapText="1"/>
      <protection/>
    </xf>
    <xf numFmtId="0" fontId="3" fillId="0" borderId="134"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128" xfId="60" applyFont="1" applyBorder="1" applyAlignment="1">
      <alignment horizontal="center" vertical="center" wrapText="1"/>
      <protection/>
    </xf>
    <xf numFmtId="0" fontId="3" fillId="0" borderId="136" xfId="60" applyFont="1" applyBorder="1" applyAlignment="1">
      <alignment horizontal="left" vertical="center"/>
      <protection/>
    </xf>
    <xf numFmtId="0" fontId="3" fillId="0" borderId="137" xfId="60" applyFont="1" applyBorder="1" applyAlignment="1">
      <alignment horizontal="distributed" vertical="center" wrapText="1"/>
      <protection/>
    </xf>
    <xf numFmtId="0" fontId="3" fillId="0" borderId="138" xfId="60" applyFont="1" applyBorder="1" applyAlignment="1">
      <alignment horizontal="distributed" vertical="center"/>
      <protection/>
    </xf>
    <xf numFmtId="0" fontId="3" fillId="0" borderId="139" xfId="60" applyFont="1" applyBorder="1" applyAlignment="1">
      <alignment horizontal="distributed" vertical="center" wrapText="1"/>
      <protection/>
    </xf>
    <xf numFmtId="0" fontId="3" fillId="0" borderId="140" xfId="60" applyFont="1" applyBorder="1" applyAlignment="1">
      <alignment horizontal="distributed" vertical="center" wrapText="1"/>
      <protection/>
    </xf>
    <xf numFmtId="0" fontId="3" fillId="0" borderId="64" xfId="60" applyFont="1" applyBorder="1" applyAlignment="1">
      <alignment horizontal="center" vertical="center"/>
      <protection/>
    </xf>
    <xf numFmtId="0" fontId="3" fillId="0" borderId="127" xfId="60" applyFont="1" applyBorder="1" applyAlignment="1">
      <alignment horizontal="center" vertical="center" wrapText="1"/>
      <protection/>
    </xf>
    <xf numFmtId="0" fontId="3" fillId="0" borderId="141"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143" xfId="60" applyFont="1" applyBorder="1" applyAlignment="1">
      <alignment horizontal="distributed" vertical="center" wrapText="1"/>
      <protection/>
    </xf>
    <xf numFmtId="0" fontId="3" fillId="0" borderId="144"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2" sqref="A2"/>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174" t="s">
        <v>139</v>
      </c>
      <c r="B1" s="174"/>
      <c r="C1" s="174"/>
      <c r="D1" s="174"/>
      <c r="E1" s="174"/>
      <c r="F1" s="174"/>
      <c r="G1" s="174"/>
      <c r="H1" s="174"/>
      <c r="I1" s="174"/>
      <c r="J1" s="174"/>
      <c r="K1" s="174"/>
    </row>
    <row r="2" spans="1:11" ht="15">
      <c r="A2" s="80"/>
      <c r="B2" s="80"/>
      <c r="C2" s="80"/>
      <c r="D2" s="80"/>
      <c r="E2" s="80"/>
      <c r="F2" s="80"/>
      <c r="G2" s="80"/>
      <c r="H2" s="80"/>
      <c r="I2" s="80"/>
      <c r="J2" s="80"/>
      <c r="K2" s="80"/>
    </row>
    <row r="3" spans="1:11" ht="12" thickBot="1">
      <c r="A3" s="175" t="s">
        <v>140</v>
      </c>
      <c r="B3" s="175"/>
      <c r="C3" s="175"/>
      <c r="D3" s="175"/>
      <c r="E3" s="175"/>
      <c r="F3" s="175"/>
      <c r="G3" s="175"/>
      <c r="H3" s="175"/>
      <c r="I3" s="175"/>
      <c r="J3" s="175"/>
      <c r="K3" s="175"/>
    </row>
    <row r="4" spans="1:11" ht="24" customHeight="1">
      <c r="A4" s="176" t="s">
        <v>141</v>
      </c>
      <c r="B4" s="177"/>
      <c r="C4" s="180" t="s">
        <v>142</v>
      </c>
      <c r="D4" s="181"/>
      <c r="E4" s="182"/>
      <c r="F4" s="180" t="s">
        <v>143</v>
      </c>
      <c r="G4" s="181"/>
      <c r="H4" s="182"/>
      <c r="I4" s="180" t="s">
        <v>144</v>
      </c>
      <c r="J4" s="181"/>
      <c r="K4" s="183"/>
    </row>
    <row r="5" spans="1:11" ht="24" customHeight="1">
      <c r="A5" s="178"/>
      <c r="B5" s="179"/>
      <c r="C5" s="184" t="s">
        <v>145</v>
      </c>
      <c r="D5" s="185"/>
      <c r="E5" s="81" t="s">
        <v>146</v>
      </c>
      <c r="F5" s="184" t="s">
        <v>145</v>
      </c>
      <c r="G5" s="185"/>
      <c r="H5" s="81" t="s">
        <v>146</v>
      </c>
      <c r="I5" s="184" t="s">
        <v>145</v>
      </c>
      <c r="J5" s="185"/>
      <c r="K5" s="82" t="s">
        <v>146</v>
      </c>
    </row>
    <row r="6" spans="1:11" ht="12" customHeight="1">
      <c r="A6" s="83"/>
      <c r="B6" s="84"/>
      <c r="C6" s="85"/>
      <c r="D6" s="47" t="s">
        <v>147</v>
      </c>
      <c r="E6" s="7" t="s">
        <v>148</v>
      </c>
      <c r="F6" s="85"/>
      <c r="G6" s="47" t="s">
        <v>147</v>
      </c>
      <c r="H6" s="7" t="s">
        <v>148</v>
      </c>
      <c r="I6" s="85"/>
      <c r="J6" s="47" t="s">
        <v>147</v>
      </c>
      <c r="K6" s="86" t="s">
        <v>148</v>
      </c>
    </row>
    <row r="7" spans="1:11" ht="30" customHeight="1">
      <c r="A7" s="163" t="s">
        <v>149</v>
      </c>
      <c r="B7" s="87" t="s">
        <v>150</v>
      </c>
      <c r="C7" s="88"/>
      <c r="D7" s="89">
        <v>99022</v>
      </c>
      <c r="E7" s="90">
        <v>38780144</v>
      </c>
      <c r="F7" s="91"/>
      <c r="G7" s="89">
        <v>213375</v>
      </c>
      <c r="H7" s="90">
        <v>1298187629</v>
      </c>
      <c r="I7" s="91"/>
      <c r="J7" s="89">
        <v>312397</v>
      </c>
      <c r="K7" s="92">
        <v>1336967774</v>
      </c>
    </row>
    <row r="8" spans="1:11" ht="30" customHeight="1">
      <c r="A8" s="164"/>
      <c r="B8" s="93" t="s">
        <v>151</v>
      </c>
      <c r="C8" s="88"/>
      <c r="D8" s="94">
        <v>103537</v>
      </c>
      <c r="E8" s="95">
        <v>27772864</v>
      </c>
      <c r="F8" s="91"/>
      <c r="G8" s="94">
        <v>71518</v>
      </c>
      <c r="H8" s="95">
        <v>26852815</v>
      </c>
      <c r="I8" s="91"/>
      <c r="J8" s="94">
        <v>175055</v>
      </c>
      <c r="K8" s="96">
        <v>54625680</v>
      </c>
    </row>
    <row r="9" spans="1:11" s="102" customFormat="1" ht="30" customHeight="1">
      <c r="A9" s="164"/>
      <c r="B9" s="97" t="s">
        <v>152</v>
      </c>
      <c r="C9" s="98"/>
      <c r="D9" s="99">
        <v>202559</v>
      </c>
      <c r="E9" s="100">
        <v>66553009</v>
      </c>
      <c r="F9" s="98"/>
      <c r="G9" s="99">
        <v>284893</v>
      </c>
      <c r="H9" s="100">
        <v>1325040445</v>
      </c>
      <c r="I9" s="98"/>
      <c r="J9" s="99">
        <v>487452</v>
      </c>
      <c r="K9" s="101">
        <v>1391593453</v>
      </c>
    </row>
    <row r="10" spans="1:11" ht="30" customHeight="1">
      <c r="A10" s="165"/>
      <c r="B10" s="103" t="s">
        <v>153</v>
      </c>
      <c r="C10" s="88"/>
      <c r="D10" s="104">
        <v>6684</v>
      </c>
      <c r="E10" s="105">
        <v>3023372</v>
      </c>
      <c r="F10" s="88"/>
      <c r="G10" s="104">
        <v>22120</v>
      </c>
      <c r="H10" s="105">
        <v>290601699</v>
      </c>
      <c r="I10" s="88"/>
      <c r="J10" s="104">
        <v>28804</v>
      </c>
      <c r="K10" s="106">
        <v>293625071</v>
      </c>
    </row>
    <row r="11" spans="1:11" ht="30" customHeight="1">
      <c r="A11" s="166" t="s">
        <v>154</v>
      </c>
      <c r="B11" s="107" t="s">
        <v>155</v>
      </c>
      <c r="C11" s="108"/>
      <c r="D11" s="109">
        <v>13405</v>
      </c>
      <c r="E11" s="110">
        <v>2975530</v>
      </c>
      <c r="F11" s="111"/>
      <c r="G11" s="112">
        <v>14936</v>
      </c>
      <c r="H11" s="110">
        <v>5188936</v>
      </c>
      <c r="I11" s="111"/>
      <c r="J11" s="112">
        <v>28341</v>
      </c>
      <c r="K11" s="113">
        <v>8164466</v>
      </c>
    </row>
    <row r="12" spans="1:11" ht="30" customHeight="1">
      <c r="A12" s="167"/>
      <c r="B12" s="114" t="s">
        <v>156</v>
      </c>
      <c r="C12" s="115"/>
      <c r="D12" s="94">
        <v>1380</v>
      </c>
      <c r="E12" s="95">
        <v>264227</v>
      </c>
      <c r="F12" s="116"/>
      <c r="G12" s="117">
        <v>2573</v>
      </c>
      <c r="H12" s="95">
        <v>3514131</v>
      </c>
      <c r="I12" s="116"/>
      <c r="J12" s="117">
        <v>3953</v>
      </c>
      <c r="K12" s="96">
        <v>3778358</v>
      </c>
    </row>
    <row r="13" spans="1:11" s="102" customFormat="1" ht="30" customHeight="1">
      <c r="A13" s="168" t="s">
        <v>157</v>
      </c>
      <c r="B13" s="169"/>
      <c r="C13" s="118" t="s">
        <v>158</v>
      </c>
      <c r="D13" s="119">
        <v>214887</v>
      </c>
      <c r="E13" s="120">
        <v>66240940</v>
      </c>
      <c r="F13" s="118" t="s">
        <v>158</v>
      </c>
      <c r="G13" s="119">
        <v>309458</v>
      </c>
      <c r="H13" s="120">
        <v>1036113551</v>
      </c>
      <c r="I13" s="118" t="s">
        <v>158</v>
      </c>
      <c r="J13" s="119">
        <v>524345</v>
      </c>
      <c r="K13" s="121">
        <v>1102354490</v>
      </c>
    </row>
    <row r="14" spans="1:11" ht="30" customHeight="1" thickBot="1">
      <c r="A14" s="170" t="s">
        <v>159</v>
      </c>
      <c r="B14" s="171"/>
      <c r="C14" s="122"/>
      <c r="D14" s="123">
        <v>13811</v>
      </c>
      <c r="E14" s="124">
        <v>568814</v>
      </c>
      <c r="F14" s="125"/>
      <c r="G14" s="123">
        <v>12290</v>
      </c>
      <c r="H14" s="124">
        <v>789614</v>
      </c>
      <c r="I14" s="125"/>
      <c r="J14" s="123">
        <v>26101</v>
      </c>
      <c r="K14" s="126">
        <v>1358428</v>
      </c>
    </row>
    <row r="15" spans="1:11" s="1" customFormat="1" ht="37.5" customHeight="1">
      <c r="A15" s="127" t="s">
        <v>160</v>
      </c>
      <c r="B15" s="172" t="s">
        <v>179</v>
      </c>
      <c r="C15" s="172"/>
      <c r="D15" s="172"/>
      <c r="E15" s="172"/>
      <c r="F15" s="172"/>
      <c r="G15" s="172"/>
      <c r="H15" s="172"/>
      <c r="I15" s="172"/>
      <c r="J15" s="172"/>
      <c r="K15" s="172"/>
    </row>
    <row r="16" spans="2:11" ht="45" customHeight="1">
      <c r="B16" s="173" t="s">
        <v>180</v>
      </c>
      <c r="C16" s="173"/>
      <c r="D16" s="173"/>
      <c r="E16" s="173"/>
      <c r="F16" s="173"/>
      <c r="G16" s="173"/>
      <c r="H16" s="173"/>
      <c r="I16" s="173"/>
      <c r="J16" s="173"/>
      <c r="K16" s="173"/>
    </row>
    <row r="17" spans="1:2" ht="14.25" customHeight="1">
      <c r="A17" s="2" t="s">
        <v>161</v>
      </c>
      <c r="B17" s="2" t="s">
        <v>162</v>
      </c>
    </row>
    <row r="18" spans="1:2" ht="11.25">
      <c r="A18" s="128" t="s">
        <v>163</v>
      </c>
      <c r="B18" s="2" t="s">
        <v>164</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&amp;R&amp;10大阪国税局
消費税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165</v>
      </c>
    </row>
    <row r="2" spans="1:8" s="2" customFormat="1" ht="15" customHeight="1">
      <c r="A2" s="176" t="s">
        <v>141</v>
      </c>
      <c r="B2" s="177"/>
      <c r="C2" s="189" t="s">
        <v>142</v>
      </c>
      <c r="D2" s="189"/>
      <c r="E2" s="189" t="s">
        <v>166</v>
      </c>
      <c r="F2" s="189"/>
      <c r="G2" s="190" t="s">
        <v>167</v>
      </c>
      <c r="H2" s="191"/>
    </row>
    <row r="3" spans="1:8" s="2" customFormat="1" ht="15" customHeight="1">
      <c r="A3" s="178"/>
      <c r="B3" s="179"/>
      <c r="C3" s="108" t="s">
        <v>168</v>
      </c>
      <c r="D3" s="81" t="s">
        <v>169</v>
      </c>
      <c r="E3" s="108" t="s">
        <v>168</v>
      </c>
      <c r="F3" s="129" t="s">
        <v>169</v>
      </c>
      <c r="G3" s="108" t="s">
        <v>168</v>
      </c>
      <c r="H3" s="130" t="s">
        <v>169</v>
      </c>
    </row>
    <row r="4" spans="1:8" s="135" customFormat="1" ht="15" customHeight="1">
      <c r="A4" s="131"/>
      <c r="B4" s="81"/>
      <c r="C4" s="132" t="s">
        <v>16</v>
      </c>
      <c r="D4" s="133" t="s">
        <v>17</v>
      </c>
      <c r="E4" s="132" t="s">
        <v>16</v>
      </c>
      <c r="F4" s="133" t="s">
        <v>17</v>
      </c>
      <c r="G4" s="132" t="s">
        <v>16</v>
      </c>
      <c r="H4" s="134" t="s">
        <v>17</v>
      </c>
    </row>
    <row r="5" spans="1:8" s="137" customFormat="1" ht="30" customHeight="1">
      <c r="A5" s="192" t="s">
        <v>181</v>
      </c>
      <c r="B5" s="87" t="s">
        <v>170</v>
      </c>
      <c r="C5" s="136">
        <v>256528</v>
      </c>
      <c r="D5" s="90">
        <v>81035350</v>
      </c>
      <c r="E5" s="136">
        <v>298602</v>
      </c>
      <c r="F5" s="90">
        <v>1418763022</v>
      </c>
      <c r="G5" s="136">
        <v>555130</v>
      </c>
      <c r="H5" s="92">
        <v>1499798372</v>
      </c>
    </row>
    <row r="6" spans="1:8" s="137" customFormat="1" ht="30" customHeight="1">
      <c r="A6" s="187"/>
      <c r="B6" s="103" t="s">
        <v>4</v>
      </c>
      <c r="C6" s="138">
        <v>9436</v>
      </c>
      <c r="D6" s="139">
        <v>7229690</v>
      </c>
      <c r="E6" s="138">
        <v>25077</v>
      </c>
      <c r="F6" s="139">
        <v>372938859</v>
      </c>
      <c r="G6" s="138">
        <v>34513</v>
      </c>
      <c r="H6" s="140">
        <v>380168549</v>
      </c>
    </row>
    <row r="7" spans="1:8" s="137" customFormat="1" ht="30" customHeight="1">
      <c r="A7" s="193" t="s">
        <v>182</v>
      </c>
      <c r="B7" s="141" t="s">
        <v>170</v>
      </c>
      <c r="C7" s="142">
        <v>249132</v>
      </c>
      <c r="D7" s="110">
        <v>73019151.566</v>
      </c>
      <c r="E7" s="142">
        <v>297003</v>
      </c>
      <c r="F7" s="110">
        <v>1414454500.6000001</v>
      </c>
      <c r="G7" s="142">
        <v>546135</v>
      </c>
      <c r="H7" s="113">
        <v>1487473652</v>
      </c>
    </row>
    <row r="8" spans="1:8" s="137" customFormat="1" ht="30" customHeight="1">
      <c r="A8" s="194"/>
      <c r="B8" s="103" t="s">
        <v>4</v>
      </c>
      <c r="C8" s="138">
        <v>9884</v>
      </c>
      <c r="D8" s="139">
        <v>7151379.506000001</v>
      </c>
      <c r="E8" s="138">
        <v>24878</v>
      </c>
      <c r="F8" s="139">
        <v>278093387.5490001</v>
      </c>
      <c r="G8" s="138">
        <v>34762</v>
      </c>
      <c r="H8" s="140">
        <v>285244767</v>
      </c>
    </row>
    <row r="9" spans="1:8" s="137" customFormat="1" ht="30" customHeight="1">
      <c r="A9" s="186" t="s">
        <v>171</v>
      </c>
      <c r="B9" s="141" t="s">
        <v>170</v>
      </c>
      <c r="C9" s="142">
        <v>237777</v>
      </c>
      <c r="D9" s="110">
        <v>70618804</v>
      </c>
      <c r="E9" s="142">
        <v>293949</v>
      </c>
      <c r="F9" s="110">
        <v>1366030350</v>
      </c>
      <c r="G9" s="142">
        <v>531726</v>
      </c>
      <c r="H9" s="113">
        <v>1436649154</v>
      </c>
    </row>
    <row r="10" spans="1:8" s="137" customFormat="1" ht="30" customHeight="1">
      <c r="A10" s="187"/>
      <c r="B10" s="103" t="s">
        <v>4</v>
      </c>
      <c r="C10" s="138">
        <v>8378</v>
      </c>
      <c r="D10" s="139">
        <v>4831392</v>
      </c>
      <c r="E10" s="138">
        <v>23966</v>
      </c>
      <c r="F10" s="139">
        <v>309382260</v>
      </c>
      <c r="G10" s="138">
        <v>32344</v>
      </c>
      <c r="H10" s="140">
        <v>314213652</v>
      </c>
    </row>
    <row r="11" spans="1:8" s="137" customFormat="1" ht="30" customHeight="1">
      <c r="A11" s="186" t="s">
        <v>172</v>
      </c>
      <c r="B11" s="141" t="s">
        <v>170</v>
      </c>
      <c r="C11" s="142">
        <v>212971</v>
      </c>
      <c r="D11" s="110">
        <v>67400211</v>
      </c>
      <c r="E11" s="142">
        <v>288344</v>
      </c>
      <c r="F11" s="110">
        <v>1350697953</v>
      </c>
      <c r="G11" s="142">
        <v>501315</v>
      </c>
      <c r="H11" s="113">
        <v>1418098165</v>
      </c>
    </row>
    <row r="12" spans="1:8" s="137" customFormat="1" ht="30" customHeight="1">
      <c r="A12" s="187"/>
      <c r="B12" s="103" t="s">
        <v>4</v>
      </c>
      <c r="C12" s="138">
        <v>7051</v>
      </c>
      <c r="D12" s="139">
        <v>3475100</v>
      </c>
      <c r="E12" s="138">
        <v>22720</v>
      </c>
      <c r="F12" s="139">
        <v>298969507</v>
      </c>
      <c r="G12" s="138">
        <v>29771</v>
      </c>
      <c r="H12" s="140">
        <v>302444606</v>
      </c>
    </row>
    <row r="13" spans="1:8" s="2" customFormat="1" ht="30" customHeight="1">
      <c r="A13" s="186" t="s">
        <v>183</v>
      </c>
      <c r="B13" s="141" t="s">
        <v>170</v>
      </c>
      <c r="C13" s="142">
        <v>202559</v>
      </c>
      <c r="D13" s="110">
        <v>66553009</v>
      </c>
      <c r="E13" s="142">
        <v>284893</v>
      </c>
      <c r="F13" s="110">
        <v>1325040445</v>
      </c>
      <c r="G13" s="142">
        <v>487452</v>
      </c>
      <c r="H13" s="113">
        <v>1391593453</v>
      </c>
    </row>
    <row r="14" spans="1:8" s="2" customFormat="1" ht="30" customHeight="1" thickBot="1">
      <c r="A14" s="188"/>
      <c r="B14" s="143" t="s">
        <v>4</v>
      </c>
      <c r="C14" s="144">
        <v>6684</v>
      </c>
      <c r="D14" s="145">
        <v>3023372</v>
      </c>
      <c r="E14" s="144">
        <v>22120</v>
      </c>
      <c r="F14" s="145">
        <v>290601699</v>
      </c>
      <c r="G14" s="144">
        <v>28804</v>
      </c>
      <c r="H14" s="146">
        <v>293625071</v>
      </c>
    </row>
    <row r="15" spans="5:7" s="2" customFormat="1" ht="11.25">
      <c r="E15" s="147"/>
      <c r="G15" s="147"/>
    </row>
    <row r="16" spans="5:7" s="2" customFormat="1" ht="11.25">
      <c r="E16" s="147"/>
      <c r="G16" s="147"/>
    </row>
    <row r="17" spans="5:7" s="2" customFormat="1" ht="11.25">
      <c r="E17" s="147"/>
      <c r="G17" s="147"/>
    </row>
    <row r="18" spans="5:7" s="2" customFormat="1" ht="11.25">
      <c r="E18" s="147"/>
      <c r="G18" s="147"/>
    </row>
    <row r="19" spans="5:7" s="2" customFormat="1" ht="11.25">
      <c r="E19" s="147"/>
      <c r="G19" s="147"/>
    </row>
    <row r="20" spans="5:7" s="2" customFormat="1" ht="11.25">
      <c r="E20" s="147"/>
      <c r="G20" s="147"/>
    </row>
    <row r="21" spans="5:7" s="2" customFormat="1" ht="11.25">
      <c r="E21" s="147"/>
      <c r="G21" s="147"/>
    </row>
    <row r="22" spans="5:7" s="2" customFormat="1" ht="11.25">
      <c r="E22" s="147"/>
      <c r="G22" s="147"/>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&amp;R&amp;10大阪国税局
消費税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173</v>
      </c>
    </row>
    <row r="2" spans="1:4" s="1" customFormat="1" ht="19.5" customHeight="1">
      <c r="A2" s="148" t="s">
        <v>174</v>
      </c>
      <c r="B2" s="149" t="s">
        <v>175</v>
      </c>
      <c r="C2" s="150" t="s">
        <v>176</v>
      </c>
      <c r="D2" s="151" t="s">
        <v>177</v>
      </c>
    </row>
    <row r="3" spans="1:4" s="135" customFormat="1" ht="15" customHeight="1">
      <c r="A3" s="152" t="s">
        <v>16</v>
      </c>
      <c r="B3" s="153" t="s">
        <v>16</v>
      </c>
      <c r="C3" s="154" t="s">
        <v>16</v>
      </c>
      <c r="D3" s="155" t="s">
        <v>16</v>
      </c>
    </row>
    <row r="4" spans="1:9" s="1" customFormat="1" ht="30" customHeight="1" thickBot="1">
      <c r="A4" s="156">
        <v>527176</v>
      </c>
      <c r="B4" s="157">
        <v>13525</v>
      </c>
      <c r="C4" s="158">
        <v>1844</v>
      </c>
      <c r="D4" s="159">
        <v>542545</v>
      </c>
      <c r="E4" s="160"/>
      <c r="G4" s="160"/>
      <c r="I4" s="160"/>
    </row>
    <row r="5" spans="1:4" s="1" customFormat="1" ht="15" customHeight="1">
      <c r="A5" s="195" t="s">
        <v>184</v>
      </c>
      <c r="B5" s="195"/>
      <c r="C5" s="195"/>
      <c r="D5" s="195"/>
    </row>
    <row r="6" spans="1:4" s="1" customFormat="1" ht="15" customHeight="1">
      <c r="A6" s="196" t="s">
        <v>178</v>
      </c>
      <c r="B6" s="196"/>
      <c r="C6" s="196"/>
      <c r="D6" s="196"/>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消費税
(H24)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17"/>
  <sheetViews>
    <sheetView zoomScalePageLayoutView="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196" t="s">
        <v>1</v>
      </c>
      <c r="B2" s="196"/>
      <c r="C2" s="196"/>
      <c r="D2" s="196"/>
      <c r="E2" s="196"/>
      <c r="F2" s="196"/>
      <c r="G2" s="196"/>
      <c r="H2" s="2"/>
      <c r="I2" s="2"/>
      <c r="J2" s="2"/>
      <c r="K2" s="2"/>
      <c r="L2" s="2"/>
      <c r="M2" s="2"/>
      <c r="N2" s="2"/>
    </row>
    <row r="3" spans="1:14" ht="19.5" customHeight="1">
      <c r="A3" s="197" t="s">
        <v>2</v>
      </c>
      <c r="B3" s="200" t="s">
        <v>3</v>
      </c>
      <c r="C3" s="200"/>
      <c r="D3" s="200"/>
      <c r="E3" s="200"/>
      <c r="F3" s="200"/>
      <c r="G3" s="200"/>
      <c r="H3" s="201" t="s">
        <v>4</v>
      </c>
      <c r="I3" s="202"/>
      <c r="J3" s="210" t="s">
        <v>5</v>
      </c>
      <c r="K3" s="202"/>
      <c r="L3" s="201" t="s">
        <v>6</v>
      </c>
      <c r="M3" s="202"/>
      <c r="N3" s="205" t="s">
        <v>7</v>
      </c>
    </row>
    <row r="4" spans="1:14" ht="17.25" customHeight="1">
      <c r="A4" s="198"/>
      <c r="B4" s="208" t="s">
        <v>8</v>
      </c>
      <c r="C4" s="208"/>
      <c r="D4" s="203" t="s">
        <v>9</v>
      </c>
      <c r="E4" s="209"/>
      <c r="F4" s="203" t="s">
        <v>10</v>
      </c>
      <c r="G4" s="209"/>
      <c r="H4" s="203"/>
      <c r="I4" s="204"/>
      <c r="J4" s="203"/>
      <c r="K4" s="204"/>
      <c r="L4" s="203"/>
      <c r="M4" s="204"/>
      <c r="N4" s="206"/>
    </row>
    <row r="5" spans="1:14" s="4" customFormat="1" ht="28.5" customHeight="1">
      <c r="A5" s="199"/>
      <c r="B5" s="70" t="s">
        <v>11</v>
      </c>
      <c r="C5" s="71" t="s">
        <v>12</v>
      </c>
      <c r="D5" s="70" t="s">
        <v>11</v>
      </c>
      <c r="E5" s="71" t="s">
        <v>12</v>
      </c>
      <c r="F5" s="70" t="s">
        <v>11</v>
      </c>
      <c r="G5" s="77" t="s">
        <v>13</v>
      </c>
      <c r="H5" s="70" t="s">
        <v>124</v>
      </c>
      <c r="I5" s="76" t="s">
        <v>14</v>
      </c>
      <c r="J5" s="70" t="s">
        <v>124</v>
      </c>
      <c r="K5" s="76" t="s">
        <v>15</v>
      </c>
      <c r="L5" s="70" t="s">
        <v>124</v>
      </c>
      <c r="M5" s="72" t="s">
        <v>126</v>
      </c>
      <c r="N5" s="207"/>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s="26" customFormat="1" ht="15.75" customHeight="1">
      <c r="A7" s="11" t="s">
        <v>19</v>
      </c>
      <c r="B7" s="12">
        <f>_xlfn.COMPOUNDVALUE(1)</f>
        <v>1171</v>
      </c>
      <c r="C7" s="13">
        <v>424259</v>
      </c>
      <c r="D7" s="12">
        <f>_xlfn.COMPOUNDVALUE(2)</f>
        <v>1313</v>
      </c>
      <c r="E7" s="13">
        <v>350537</v>
      </c>
      <c r="F7" s="12">
        <f>_xlfn.COMPOUNDVALUE(3)</f>
        <v>2484</v>
      </c>
      <c r="G7" s="13">
        <v>774796</v>
      </c>
      <c r="H7" s="12">
        <f>_xlfn.COMPOUNDVALUE(4)</f>
        <v>93</v>
      </c>
      <c r="I7" s="14">
        <v>29013</v>
      </c>
      <c r="J7" s="12">
        <v>171</v>
      </c>
      <c r="K7" s="14">
        <v>37820</v>
      </c>
      <c r="L7" s="12">
        <v>2672</v>
      </c>
      <c r="M7" s="14">
        <v>783602</v>
      </c>
      <c r="N7" s="15" t="s">
        <v>19</v>
      </c>
    </row>
    <row r="8" spans="1:14" s="26" customFormat="1" ht="15.75" customHeight="1">
      <c r="A8" s="16" t="s">
        <v>20</v>
      </c>
      <c r="B8" s="17">
        <f>_xlfn.COMPOUNDVALUE(5)</f>
        <v>634</v>
      </c>
      <c r="C8" s="18">
        <v>231414</v>
      </c>
      <c r="D8" s="17">
        <f>_xlfn.COMPOUNDVALUE(6)</f>
        <v>787</v>
      </c>
      <c r="E8" s="18">
        <v>210317</v>
      </c>
      <c r="F8" s="17">
        <f>_xlfn.COMPOUNDVALUE(7)</f>
        <v>1421</v>
      </c>
      <c r="G8" s="18">
        <v>441730</v>
      </c>
      <c r="H8" s="17">
        <f>_xlfn.COMPOUNDVALUE(8)</f>
        <v>45</v>
      </c>
      <c r="I8" s="19">
        <v>4503</v>
      </c>
      <c r="J8" s="17">
        <v>88</v>
      </c>
      <c r="K8" s="19">
        <v>33988</v>
      </c>
      <c r="L8" s="17">
        <v>1483</v>
      </c>
      <c r="M8" s="19">
        <v>471215</v>
      </c>
      <c r="N8" s="20" t="s">
        <v>20</v>
      </c>
    </row>
    <row r="9" spans="1:14" s="26" customFormat="1" ht="15.75" customHeight="1">
      <c r="A9" s="16" t="s">
        <v>21</v>
      </c>
      <c r="B9" s="17">
        <f>_xlfn.COMPOUNDVALUE(9)</f>
        <v>774</v>
      </c>
      <c r="C9" s="18">
        <v>279735</v>
      </c>
      <c r="D9" s="17">
        <f>_xlfn.COMPOUNDVALUE(10)</f>
        <v>771</v>
      </c>
      <c r="E9" s="18">
        <v>190056</v>
      </c>
      <c r="F9" s="17">
        <f>_xlfn.COMPOUNDVALUE(11)</f>
        <v>1545</v>
      </c>
      <c r="G9" s="18">
        <v>469791</v>
      </c>
      <c r="H9" s="17">
        <f>_xlfn.COMPOUNDVALUE(12)</f>
        <v>35</v>
      </c>
      <c r="I9" s="19">
        <v>8875</v>
      </c>
      <c r="J9" s="17">
        <v>111</v>
      </c>
      <c r="K9" s="19">
        <v>35049</v>
      </c>
      <c r="L9" s="17">
        <v>1608</v>
      </c>
      <c r="M9" s="19">
        <v>495965</v>
      </c>
      <c r="N9" s="20" t="s">
        <v>21</v>
      </c>
    </row>
    <row r="10" spans="1:14" s="26" customFormat="1" ht="15.75" customHeight="1">
      <c r="A10" s="16" t="s">
        <v>22</v>
      </c>
      <c r="B10" s="17">
        <f>_xlfn.COMPOUNDVALUE(13)</f>
        <v>1015</v>
      </c>
      <c r="C10" s="18">
        <v>348583</v>
      </c>
      <c r="D10" s="17">
        <f>_xlfn.COMPOUNDVALUE(14)</f>
        <v>1314</v>
      </c>
      <c r="E10" s="18">
        <v>324622</v>
      </c>
      <c r="F10" s="17">
        <f>_xlfn.COMPOUNDVALUE(15)</f>
        <v>2329</v>
      </c>
      <c r="G10" s="18">
        <v>673205</v>
      </c>
      <c r="H10" s="17">
        <f>_xlfn.COMPOUNDVALUE(16)</f>
        <v>58</v>
      </c>
      <c r="I10" s="19">
        <v>12883</v>
      </c>
      <c r="J10" s="17">
        <v>91</v>
      </c>
      <c r="K10" s="19">
        <v>18796</v>
      </c>
      <c r="L10" s="17">
        <v>2410</v>
      </c>
      <c r="M10" s="19">
        <v>679119</v>
      </c>
      <c r="N10" s="20" t="s">
        <v>22</v>
      </c>
    </row>
    <row r="11" spans="1:14" s="26" customFormat="1" ht="15.75" customHeight="1">
      <c r="A11" s="16" t="s">
        <v>23</v>
      </c>
      <c r="B11" s="17">
        <f>_xlfn.COMPOUNDVALUE(17)</f>
        <v>1194</v>
      </c>
      <c r="C11" s="18">
        <v>794809</v>
      </c>
      <c r="D11" s="17">
        <f>_xlfn.COMPOUNDVALUE(18)</f>
        <v>1398</v>
      </c>
      <c r="E11" s="18">
        <v>387229</v>
      </c>
      <c r="F11" s="17">
        <f>_xlfn.COMPOUNDVALUE(19)</f>
        <v>2592</v>
      </c>
      <c r="G11" s="18">
        <v>1182038</v>
      </c>
      <c r="H11" s="17">
        <f>_xlfn.COMPOUNDVALUE(20)</f>
        <v>71</v>
      </c>
      <c r="I11" s="19">
        <v>48083</v>
      </c>
      <c r="J11" s="17">
        <v>145</v>
      </c>
      <c r="K11" s="19">
        <v>36899</v>
      </c>
      <c r="L11" s="17">
        <v>2736</v>
      </c>
      <c r="M11" s="19">
        <v>1170854</v>
      </c>
      <c r="N11" s="20" t="s">
        <v>23</v>
      </c>
    </row>
    <row r="12" spans="1:14" s="26" customFormat="1" ht="15.75" customHeight="1">
      <c r="A12" s="16" t="s">
        <v>24</v>
      </c>
      <c r="B12" s="17">
        <f>_xlfn.COMPOUNDVALUE(21)</f>
        <v>561</v>
      </c>
      <c r="C12" s="18">
        <v>236242</v>
      </c>
      <c r="D12" s="17">
        <f>_xlfn.COMPOUNDVALUE(22)</f>
        <v>711</v>
      </c>
      <c r="E12" s="18">
        <v>171000</v>
      </c>
      <c r="F12" s="17">
        <f>_xlfn.COMPOUNDVALUE(23)</f>
        <v>1272</v>
      </c>
      <c r="G12" s="18">
        <v>407242</v>
      </c>
      <c r="H12" s="17">
        <f>_xlfn.COMPOUNDVALUE(24)</f>
        <v>27</v>
      </c>
      <c r="I12" s="19">
        <v>5518</v>
      </c>
      <c r="J12" s="17">
        <v>80</v>
      </c>
      <c r="K12" s="19">
        <v>7655</v>
      </c>
      <c r="L12" s="17">
        <v>1322</v>
      </c>
      <c r="M12" s="19">
        <v>409379</v>
      </c>
      <c r="N12" s="20" t="s">
        <v>24</v>
      </c>
    </row>
    <row r="13" spans="1:14" s="26" customFormat="1" ht="15.75" customHeight="1">
      <c r="A13" s="16" t="s">
        <v>25</v>
      </c>
      <c r="B13" s="17">
        <f>_xlfn.COMPOUNDVALUE(25)</f>
        <v>303</v>
      </c>
      <c r="C13" s="18">
        <v>85631</v>
      </c>
      <c r="D13" s="17">
        <f>_xlfn.COMPOUNDVALUE(26)</f>
        <v>345</v>
      </c>
      <c r="E13" s="18">
        <v>81980</v>
      </c>
      <c r="F13" s="17">
        <f>_xlfn.COMPOUNDVALUE(27)</f>
        <v>648</v>
      </c>
      <c r="G13" s="18">
        <v>167610</v>
      </c>
      <c r="H13" s="17">
        <f>_xlfn.COMPOUNDVALUE(28)</f>
        <v>19</v>
      </c>
      <c r="I13" s="19">
        <v>5355</v>
      </c>
      <c r="J13" s="17">
        <v>33</v>
      </c>
      <c r="K13" s="19">
        <v>3873</v>
      </c>
      <c r="L13" s="17">
        <v>684</v>
      </c>
      <c r="M13" s="19">
        <v>166128</v>
      </c>
      <c r="N13" s="20" t="s">
        <v>25</v>
      </c>
    </row>
    <row r="14" spans="1:14" s="26" customFormat="1" ht="15.75" customHeight="1">
      <c r="A14" s="21" t="s">
        <v>26</v>
      </c>
      <c r="B14" s="22">
        <v>5652</v>
      </c>
      <c r="C14" s="23">
        <v>2400672</v>
      </c>
      <c r="D14" s="22">
        <v>6639</v>
      </c>
      <c r="E14" s="23">
        <v>1715740</v>
      </c>
      <c r="F14" s="22">
        <v>12291</v>
      </c>
      <c r="G14" s="23">
        <v>4116412</v>
      </c>
      <c r="H14" s="22">
        <v>348</v>
      </c>
      <c r="I14" s="24">
        <v>114229</v>
      </c>
      <c r="J14" s="22">
        <v>719</v>
      </c>
      <c r="K14" s="24">
        <v>174080</v>
      </c>
      <c r="L14" s="22">
        <v>12915</v>
      </c>
      <c r="M14" s="24">
        <v>4176263</v>
      </c>
      <c r="N14" s="25" t="s">
        <v>131</v>
      </c>
    </row>
    <row r="15" spans="1:14" s="26" customFormat="1" ht="15.75" customHeight="1">
      <c r="A15" s="41"/>
      <c r="B15" s="36"/>
      <c r="C15" s="37"/>
      <c r="D15" s="36"/>
      <c r="E15" s="37"/>
      <c r="F15" s="38"/>
      <c r="G15" s="37"/>
      <c r="H15" s="38"/>
      <c r="I15" s="37"/>
      <c r="J15" s="38"/>
      <c r="K15" s="37"/>
      <c r="L15" s="38"/>
      <c r="M15" s="37"/>
      <c r="N15" s="39"/>
    </row>
    <row r="16" spans="1:14" s="26" customFormat="1" ht="15.75" customHeight="1">
      <c r="A16" s="11" t="s">
        <v>27</v>
      </c>
      <c r="B16" s="12">
        <f>_xlfn.COMPOUNDVALUE(29)</f>
        <v>1128</v>
      </c>
      <c r="C16" s="13">
        <v>489629</v>
      </c>
      <c r="D16" s="12">
        <f>_xlfn.COMPOUNDVALUE(30)</f>
        <v>1383</v>
      </c>
      <c r="E16" s="13">
        <v>344462</v>
      </c>
      <c r="F16" s="12">
        <f>_xlfn.COMPOUNDVALUE(31)</f>
        <v>2511</v>
      </c>
      <c r="G16" s="13">
        <v>834091</v>
      </c>
      <c r="H16" s="12">
        <f>_xlfn.COMPOUNDVALUE(32)</f>
        <v>77</v>
      </c>
      <c r="I16" s="14">
        <v>37537</v>
      </c>
      <c r="J16" s="12">
        <v>135</v>
      </c>
      <c r="K16" s="14">
        <v>14873</v>
      </c>
      <c r="L16" s="12">
        <v>2629</v>
      </c>
      <c r="M16" s="14">
        <v>811427</v>
      </c>
      <c r="N16" s="40" t="s">
        <v>27</v>
      </c>
    </row>
    <row r="17" spans="1:14" s="26" customFormat="1" ht="15.75" customHeight="1">
      <c r="A17" s="11" t="s">
        <v>28</v>
      </c>
      <c r="B17" s="12">
        <f>_xlfn.COMPOUNDVALUE(33)</f>
        <v>793</v>
      </c>
      <c r="C17" s="13">
        <v>437203</v>
      </c>
      <c r="D17" s="12">
        <f>_xlfn.COMPOUNDVALUE(34)</f>
        <v>967</v>
      </c>
      <c r="E17" s="13">
        <v>263386</v>
      </c>
      <c r="F17" s="12">
        <f>_xlfn.COMPOUNDVALUE(35)</f>
        <v>1760</v>
      </c>
      <c r="G17" s="13">
        <v>700589</v>
      </c>
      <c r="H17" s="12">
        <f>_xlfn.COMPOUNDVALUE(36)</f>
        <v>62</v>
      </c>
      <c r="I17" s="14">
        <v>26047</v>
      </c>
      <c r="J17" s="12">
        <v>134</v>
      </c>
      <c r="K17" s="14">
        <v>30572</v>
      </c>
      <c r="L17" s="12">
        <v>1883</v>
      </c>
      <c r="M17" s="14">
        <v>705114</v>
      </c>
      <c r="N17" s="15" t="s">
        <v>28</v>
      </c>
    </row>
    <row r="18" spans="1:14" s="26" customFormat="1" ht="15.75" customHeight="1">
      <c r="A18" s="11" t="s">
        <v>29</v>
      </c>
      <c r="B18" s="12">
        <f>_xlfn.COMPOUNDVALUE(37)</f>
        <v>837</v>
      </c>
      <c r="C18" s="13">
        <v>425367</v>
      </c>
      <c r="D18" s="12">
        <f>_xlfn.COMPOUNDVALUE(38)</f>
        <v>1190</v>
      </c>
      <c r="E18" s="13">
        <v>357941</v>
      </c>
      <c r="F18" s="12">
        <f>_xlfn.COMPOUNDVALUE(39)</f>
        <v>2027</v>
      </c>
      <c r="G18" s="13">
        <v>783308</v>
      </c>
      <c r="H18" s="12">
        <f>_xlfn.COMPOUNDVALUE(40)</f>
        <v>46</v>
      </c>
      <c r="I18" s="14">
        <v>9479</v>
      </c>
      <c r="J18" s="12">
        <v>134</v>
      </c>
      <c r="K18" s="14">
        <v>25315</v>
      </c>
      <c r="L18" s="12">
        <v>2123</v>
      </c>
      <c r="M18" s="14">
        <v>799144</v>
      </c>
      <c r="N18" s="15" t="s">
        <v>29</v>
      </c>
    </row>
    <row r="19" spans="1:14" s="26" customFormat="1" ht="15.75" customHeight="1">
      <c r="A19" s="11" t="s">
        <v>30</v>
      </c>
      <c r="B19" s="12">
        <f>_xlfn.COMPOUNDVALUE(41)</f>
        <v>1080</v>
      </c>
      <c r="C19" s="13">
        <v>397510</v>
      </c>
      <c r="D19" s="12">
        <f>_xlfn.COMPOUNDVALUE(42)</f>
        <v>1144</v>
      </c>
      <c r="E19" s="13">
        <v>295928</v>
      </c>
      <c r="F19" s="12">
        <f>_xlfn.COMPOUNDVALUE(43)</f>
        <v>2224</v>
      </c>
      <c r="G19" s="13">
        <v>693438</v>
      </c>
      <c r="H19" s="12">
        <f>_xlfn.COMPOUNDVALUE(44)</f>
        <v>57</v>
      </c>
      <c r="I19" s="14">
        <v>20360</v>
      </c>
      <c r="J19" s="12">
        <v>159</v>
      </c>
      <c r="K19" s="14">
        <v>20232</v>
      </c>
      <c r="L19" s="12">
        <v>2352</v>
      </c>
      <c r="M19" s="14">
        <v>693310</v>
      </c>
      <c r="N19" s="15" t="s">
        <v>30</v>
      </c>
    </row>
    <row r="20" spans="1:14" s="26" customFormat="1" ht="15.75" customHeight="1">
      <c r="A20" s="11" t="s">
        <v>31</v>
      </c>
      <c r="B20" s="12">
        <f>_xlfn.COMPOUNDVALUE(45)</f>
        <v>1007</v>
      </c>
      <c r="C20" s="13">
        <v>470853</v>
      </c>
      <c r="D20" s="12">
        <f>_xlfn.COMPOUNDVALUE(46)</f>
        <v>1307</v>
      </c>
      <c r="E20" s="13">
        <v>333417</v>
      </c>
      <c r="F20" s="12">
        <f>_xlfn.COMPOUNDVALUE(47)</f>
        <v>2314</v>
      </c>
      <c r="G20" s="13">
        <v>804270</v>
      </c>
      <c r="H20" s="12">
        <f>_xlfn.COMPOUNDVALUE(48)</f>
        <v>52</v>
      </c>
      <c r="I20" s="14">
        <v>25277</v>
      </c>
      <c r="J20" s="12">
        <v>126</v>
      </c>
      <c r="K20" s="14">
        <v>33650</v>
      </c>
      <c r="L20" s="12">
        <v>2413</v>
      </c>
      <c r="M20" s="14">
        <v>812643</v>
      </c>
      <c r="N20" s="15" t="s">
        <v>31</v>
      </c>
    </row>
    <row r="21" spans="1:14" s="26" customFormat="1" ht="15.75" customHeight="1">
      <c r="A21" s="11" t="s">
        <v>32</v>
      </c>
      <c r="B21" s="12">
        <f>_xlfn.COMPOUNDVALUE(49)</f>
        <v>2072</v>
      </c>
      <c r="C21" s="13">
        <v>680072</v>
      </c>
      <c r="D21" s="12">
        <f>_xlfn.COMPOUNDVALUE(50)</f>
        <v>2293</v>
      </c>
      <c r="E21" s="13">
        <v>595775</v>
      </c>
      <c r="F21" s="12">
        <f>_xlfn.COMPOUNDVALUE(51)</f>
        <v>4365</v>
      </c>
      <c r="G21" s="13">
        <v>1275847</v>
      </c>
      <c r="H21" s="12">
        <f>_xlfn.COMPOUNDVALUE(52)</f>
        <v>142</v>
      </c>
      <c r="I21" s="14">
        <v>50638</v>
      </c>
      <c r="J21" s="12">
        <v>264</v>
      </c>
      <c r="K21" s="14">
        <v>52531</v>
      </c>
      <c r="L21" s="12">
        <v>4640</v>
      </c>
      <c r="M21" s="14">
        <v>1277740</v>
      </c>
      <c r="N21" s="15" t="s">
        <v>32</v>
      </c>
    </row>
    <row r="22" spans="1:14" s="26" customFormat="1" ht="15.75" customHeight="1">
      <c r="A22" s="16" t="s">
        <v>33</v>
      </c>
      <c r="B22" s="17">
        <f>_xlfn.COMPOUNDVALUE(53)</f>
        <v>1138</v>
      </c>
      <c r="C22" s="18">
        <v>372576</v>
      </c>
      <c r="D22" s="17">
        <f>_xlfn.COMPOUNDVALUE(54)</f>
        <v>1337</v>
      </c>
      <c r="E22" s="18">
        <v>348942</v>
      </c>
      <c r="F22" s="17">
        <f>_xlfn.COMPOUNDVALUE(55)</f>
        <v>2475</v>
      </c>
      <c r="G22" s="18">
        <v>721518</v>
      </c>
      <c r="H22" s="17">
        <f>_xlfn.COMPOUNDVALUE(56)</f>
        <v>66</v>
      </c>
      <c r="I22" s="19">
        <v>52192</v>
      </c>
      <c r="J22" s="17">
        <v>164</v>
      </c>
      <c r="K22" s="19">
        <v>13071</v>
      </c>
      <c r="L22" s="17">
        <v>2602</v>
      </c>
      <c r="M22" s="19">
        <v>682398</v>
      </c>
      <c r="N22" s="20" t="s">
        <v>33</v>
      </c>
    </row>
    <row r="23" spans="1:14" s="26" customFormat="1" ht="15.75" customHeight="1">
      <c r="A23" s="16" t="s">
        <v>34</v>
      </c>
      <c r="B23" s="17">
        <f>_xlfn.COMPOUNDVALUE(57)</f>
        <v>475</v>
      </c>
      <c r="C23" s="18">
        <v>158086</v>
      </c>
      <c r="D23" s="17">
        <f>_xlfn.COMPOUNDVALUE(58)</f>
        <v>528</v>
      </c>
      <c r="E23" s="18">
        <v>125140</v>
      </c>
      <c r="F23" s="17">
        <f>_xlfn.COMPOUNDVALUE(59)</f>
        <v>1003</v>
      </c>
      <c r="G23" s="18">
        <v>283226</v>
      </c>
      <c r="H23" s="17">
        <f>_xlfn.COMPOUNDVALUE(60)</f>
        <v>22</v>
      </c>
      <c r="I23" s="19">
        <v>2197</v>
      </c>
      <c r="J23" s="17">
        <v>34</v>
      </c>
      <c r="K23" s="19">
        <v>17159</v>
      </c>
      <c r="L23" s="17">
        <v>1040</v>
      </c>
      <c r="M23" s="19">
        <v>298189</v>
      </c>
      <c r="N23" s="20" t="s">
        <v>34</v>
      </c>
    </row>
    <row r="24" spans="1:14" s="26" customFormat="1" ht="15.75" customHeight="1">
      <c r="A24" s="16" t="s">
        <v>35</v>
      </c>
      <c r="B24" s="17">
        <f>_xlfn.COMPOUNDVALUE(61)</f>
        <v>370</v>
      </c>
      <c r="C24" s="18">
        <v>119999</v>
      </c>
      <c r="D24" s="17">
        <f>_xlfn.COMPOUNDVALUE(62)</f>
        <v>454</v>
      </c>
      <c r="E24" s="18">
        <v>111285</v>
      </c>
      <c r="F24" s="17">
        <f>_xlfn.COMPOUNDVALUE(63)</f>
        <v>824</v>
      </c>
      <c r="G24" s="18">
        <v>231284</v>
      </c>
      <c r="H24" s="17">
        <f>_xlfn.COMPOUNDVALUE(64)</f>
        <v>24</v>
      </c>
      <c r="I24" s="19">
        <v>4514</v>
      </c>
      <c r="J24" s="17">
        <v>82</v>
      </c>
      <c r="K24" s="19">
        <v>18339</v>
      </c>
      <c r="L24" s="17">
        <v>906</v>
      </c>
      <c r="M24" s="19">
        <v>245109</v>
      </c>
      <c r="N24" s="20" t="s">
        <v>35</v>
      </c>
    </row>
    <row r="25" spans="1:14" s="26" customFormat="1" ht="15.75" customHeight="1">
      <c r="A25" s="16" t="s">
        <v>36</v>
      </c>
      <c r="B25" s="17">
        <f>_xlfn.COMPOUNDVALUE(65)</f>
        <v>2242</v>
      </c>
      <c r="C25" s="18">
        <v>765554</v>
      </c>
      <c r="D25" s="17">
        <f>_xlfn.COMPOUNDVALUE(66)</f>
        <v>2374</v>
      </c>
      <c r="E25" s="18">
        <v>610131</v>
      </c>
      <c r="F25" s="17">
        <f>_xlfn.COMPOUNDVALUE(67)</f>
        <v>4616</v>
      </c>
      <c r="G25" s="18">
        <v>1375685</v>
      </c>
      <c r="H25" s="17">
        <f>_xlfn.COMPOUNDVALUE(68)</f>
        <v>176</v>
      </c>
      <c r="I25" s="19">
        <v>100776</v>
      </c>
      <c r="J25" s="17">
        <v>318</v>
      </c>
      <c r="K25" s="19">
        <v>47822</v>
      </c>
      <c r="L25" s="17">
        <v>4918</v>
      </c>
      <c r="M25" s="19">
        <v>1322731</v>
      </c>
      <c r="N25" s="20" t="s">
        <v>36</v>
      </c>
    </row>
    <row r="26" spans="1:14" s="26" customFormat="1" ht="15.75" customHeight="1">
      <c r="A26" s="16" t="s">
        <v>37</v>
      </c>
      <c r="B26" s="17">
        <f>_xlfn.COMPOUNDVALUE(69)</f>
        <v>334</v>
      </c>
      <c r="C26" s="18">
        <v>106011</v>
      </c>
      <c r="D26" s="17">
        <f>_xlfn.COMPOUNDVALUE(58)</f>
        <v>317</v>
      </c>
      <c r="E26" s="18">
        <v>69295</v>
      </c>
      <c r="F26" s="17">
        <f>_xlfn.COMPOUNDVALUE(70)</f>
        <v>651</v>
      </c>
      <c r="G26" s="18">
        <v>175305</v>
      </c>
      <c r="H26" s="17">
        <f>_xlfn.COMPOUNDVALUE(71)</f>
        <v>8</v>
      </c>
      <c r="I26" s="19">
        <v>616</v>
      </c>
      <c r="J26" s="17">
        <v>42</v>
      </c>
      <c r="K26" s="19">
        <v>1824</v>
      </c>
      <c r="L26" s="17">
        <v>660</v>
      </c>
      <c r="M26" s="19">
        <v>176514</v>
      </c>
      <c r="N26" s="20" t="s">
        <v>37</v>
      </c>
    </row>
    <row r="27" spans="1:14" s="26" customFormat="1" ht="15.75" customHeight="1">
      <c r="A27" s="16" t="s">
        <v>38</v>
      </c>
      <c r="B27" s="17">
        <f>_xlfn.COMPOUNDVALUE(72)</f>
        <v>636</v>
      </c>
      <c r="C27" s="18">
        <v>186860</v>
      </c>
      <c r="D27" s="17">
        <f>_xlfn.COMPOUNDVALUE(73)</f>
        <v>698</v>
      </c>
      <c r="E27" s="18">
        <v>169809</v>
      </c>
      <c r="F27" s="17">
        <f>_xlfn.COMPOUNDVALUE(74)</f>
        <v>1334</v>
      </c>
      <c r="G27" s="18">
        <v>356669</v>
      </c>
      <c r="H27" s="17">
        <f>_xlfn.COMPOUNDVALUE(75)</f>
        <v>39</v>
      </c>
      <c r="I27" s="19">
        <v>9499</v>
      </c>
      <c r="J27" s="17">
        <v>65</v>
      </c>
      <c r="K27" s="19">
        <v>6533</v>
      </c>
      <c r="L27" s="17">
        <v>1389</v>
      </c>
      <c r="M27" s="19">
        <v>353703</v>
      </c>
      <c r="N27" s="20" t="s">
        <v>38</v>
      </c>
    </row>
    <row r="28" spans="1:14" s="26" customFormat="1" ht="15.75" customHeight="1">
      <c r="A28" s="16" t="s">
        <v>39</v>
      </c>
      <c r="B28" s="17">
        <f>_xlfn.COMPOUNDVALUE(76)</f>
        <v>527</v>
      </c>
      <c r="C28" s="18">
        <v>188155</v>
      </c>
      <c r="D28" s="17">
        <f>_xlfn.COMPOUNDVALUE(77)</f>
        <v>389</v>
      </c>
      <c r="E28" s="18">
        <v>94918</v>
      </c>
      <c r="F28" s="17">
        <f>_xlfn.COMPOUNDVALUE(78)</f>
        <v>916</v>
      </c>
      <c r="G28" s="18">
        <v>283073</v>
      </c>
      <c r="H28" s="17">
        <f>_xlfn.COMPOUNDVALUE(79)</f>
        <v>17</v>
      </c>
      <c r="I28" s="19">
        <v>2499</v>
      </c>
      <c r="J28" s="17">
        <v>46</v>
      </c>
      <c r="K28" s="19">
        <v>2953</v>
      </c>
      <c r="L28" s="17">
        <v>940</v>
      </c>
      <c r="M28" s="19">
        <v>283526</v>
      </c>
      <c r="N28" s="20" t="s">
        <v>39</v>
      </c>
    </row>
    <row r="29" spans="1:14" s="26" customFormat="1" ht="15.75" customHeight="1">
      <c r="A29" s="21" t="s">
        <v>40</v>
      </c>
      <c r="B29" s="22">
        <v>12639</v>
      </c>
      <c r="C29" s="23">
        <v>4797873</v>
      </c>
      <c r="D29" s="22">
        <v>14381</v>
      </c>
      <c r="E29" s="23">
        <v>3720430</v>
      </c>
      <c r="F29" s="22">
        <v>27020</v>
      </c>
      <c r="G29" s="23">
        <v>8518303</v>
      </c>
      <c r="H29" s="22">
        <v>788</v>
      </c>
      <c r="I29" s="24">
        <v>341630</v>
      </c>
      <c r="J29" s="22">
        <v>1703</v>
      </c>
      <c r="K29" s="24">
        <v>284874</v>
      </c>
      <c r="L29" s="22">
        <v>28495</v>
      </c>
      <c r="M29" s="24">
        <v>8461547</v>
      </c>
      <c r="N29" s="25" t="s">
        <v>132</v>
      </c>
    </row>
    <row r="30" spans="1:14" s="26" customFormat="1" ht="15.75" customHeight="1">
      <c r="A30" s="35"/>
      <c r="B30" s="36"/>
      <c r="C30" s="37"/>
      <c r="D30" s="36"/>
      <c r="E30" s="37"/>
      <c r="F30" s="38"/>
      <c r="G30" s="37"/>
      <c r="H30" s="38"/>
      <c r="I30" s="37"/>
      <c r="J30" s="38"/>
      <c r="K30" s="37"/>
      <c r="L30" s="38"/>
      <c r="M30" s="37"/>
      <c r="N30" s="39"/>
    </row>
    <row r="31" spans="1:14" s="26" customFormat="1" ht="15.75" customHeight="1">
      <c r="A31" s="11" t="s">
        <v>41</v>
      </c>
      <c r="B31" s="12">
        <f>_xlfn.COMPOUNDVALUE(80)</f>
        <v>765</v>
      </c>
      <c r="C31" s="13">
        <v>272248</v>
      </c>
      <c r="D31" s="12">
        <f>_xlfn.COMPOUNDVALUE(81)</f>
        <v>650</v>
      </c>
      <c r="E31" s="13">
        <v>174218</v>
      </c>
      <c r="F31" s="12">
        <f>_xlfn.COMPOUNDVALUE(82)</f>
        <v>1415</v>
      </c>
      <c r="G31" s="13">
        <v>446466</v>
      </c>
      <c r="H31" s="12">
        <f>_xlfn.COMPOUNDVALUE(83)</f>
        <v>59</v>
      </c>
      <c r="I31" s="14">
        <v>14579</v>
      </c>
      <c r="J31" s="12">
        <v>69</v>
      </c>
      <c r="K31" s="14">
        <v>17314</v>
      </c>
      <c r="L31" s="12">
        <v>1520</v>
      </c>
      <c r="M31" s="14">
        <v>449201</v>
      </c>
      <c r="N31" s="40" t="s">
        <v>41</v>
      </c>
    </row>
    <row r="32" spans="1:14" s="26" customFormat="1" ht="15.75" customHeight="1">
      <c r="A32" s="11" t="s">
        <v>42</v>
      </c>
      <c r="B32" s="12">
        <f>_xlfn.COMPOUNDVALUE(84)</f>
        <v>809</v>
      </c>
      <c r="C32" s="13">
        <v>366140</v>
      </c>
      <c r="D32" s="12">
        <f>_xlfn.COMPOUNDVALUE(85)</f>
        <v>684</v>
      </c>
      <c r="E32" s="13">
        <v>200579</v>
      </c>
      <c r="F32" s="12">
        <f>_xlfn.COMPOUNDVALUE(86)</f>
        <v>1493</v>
      </c>
      <c r="G32" s="13">
        <v>566720</v>
      </c>
      <c r="H32" s="12">
        <f>_xlfn.COMPOUNDVALUE(87)</f>
        <v>71</v>
      </c>
      <c r="I32" s="14">
        <v>24985</v>
      </c>
      <c r="J32" s="12">
        <v>93</v>
      </c>
      <c r="K32" s="14">
        <v>9167</v>
      </c>
      <c r="L32" s="12">
        <v>1599</v>
      </c>
      <c r="M32" s="14">
        <v>550902</v>
      </c>
      <c r="N32" s="15" t="s">
        <v>42</v>
      </c>
    </row>
    <row r="33" spans="1:14" s="26" customFormat="1" ht="15.75" customHeight="1">
      <c r="A33" s="11" t="s">
        <v>43</v>
      </c>
      <c r="B33" s="12">
        <f>_xlfn.COMPOUNDVALUE(88)</f>
        <v>849</v>
      </c>
      <c r="C33" s="13">
        <v>411706</v>
      </c>
      <c r="D33" s="12">
        <f>_xlfn.COMPOUNDVALUE(89)</f>
        <v>794</v>
      </c>
      <c r="E33" s="13">
        <v>197678</v>
      </c>
      <c r="F33" s="12">
        <f>_xlfn.COMPOUNDVALUE(90)</f>
        <v>1643</v>
      </c>
      <c r="G33" s="13">
        <v>609383</v>
      </c>
      <c r="H33" s="12">
        <f>_xlfn.COMPOUNDVALUE(91)</f>
        <v>50</v>
      </c>
      <c r="I33" s="14">
        <v>7256</v>
      </c>
      <c r="J33" s="12">
        <v>194</v>
      </c>
      <c r="K33" s="14">
        <v>23121</v>
      </c>
      <c r="L33" s="12">
        <v>1741</v>
      </c>
      <c r="M33" s="14">
        <v>625248</v>
      </c>
      <c r="N33" s="15" t="s">
        <v>43</v>
      </c>
    </row>
    <row r="34" spans="1:14" s="26" customFormat="1" ht="15.75" customHeight="1">
      <c r="A34" s="11" t="s">
        <v>44</v>
      </c>
      <c r="B34" s="12">
        <f>_xlfn.COMPOUNDVALUE(92)</f>
        <v>511</v>
      </c>
      <c r="C34" s="13">
        <v>269104</v>
      </c>
      <c r="D34" s="12">
        <f>_xlfn.COMPOUNDVALUE(93)</f>
        <v>646</v>
      </c>
      <c r="E34" s="13">
        <v>212429</v>
      </c>
      <c r="F34" s="12">
        <f>_xlfn.COMPOUNDVALUE(94)</f>
        <v>1157</v>
      </c>
      <c r="G34" s="13">
        <v>481533</v>
      </c>
      <c r="H34" s="12">
        <f>_xlfn.COMPOUNDVALUE(95)</f>
        <v>61</v>
      </c>
      <c r="I34" s="14">
        <v>71009</v>
      </c>
      <c r="J34" s="12">
        <v>56</v>
      </c>
      <c r="K34" s="14">
        <v>33072</v>
      </c>
      <c r="L34" s="12">
        <v>1245</v>
      </c>
      <c r="M34" s="14">
        <v>443596</v>
      </c>
      <c r="N34" s="15" t="s">
        <v>44</v>
      </c>
    </row>
    <row r="35" spans="1:14" s="26" customFormat="1" ht="15.75" customHeight="1">
      <c r="A35" s="11" t="s">
        <v>45</v>
      </c>
      <c r="B35" s="12">
        <f>_xlfn.COMPOUNDVALUE(96)</f>
        <v>540</v>
      </c>
      <c r="C35" s="13">
        <v>223856</v>
      </c>
      <c r="D35" s="12">
        <f>_xlfn.COMPOUNDVALUE(97)</f>
        <v>373</v>
      </c>
      <c r="E35" s="13">
        <v>103065</v>
      </c>
      <c r="F35" s="12">
        <f>_xlfn.COMPOUNDVALUE(98)</f>
        <v>913</v>
      </c>
      <c r="G35" s="13">
        <v>326921</v>
      </c>
      <c r="H35" s="12">
        <f>_xlfn.COMPOUNDVALUE(99)</f>
        <v>42</v>
      </c>
      <c r="I35" s="14">
        <v>11136</v>
      </c>
      <c r="J35" s="12">
        <v>50</v>
      </c>
      <c r="K35" s="14">
        <v>28792</v>
      </c>
      <c r="L35" s="12">
        <v>991</v>
      </c>
      <c r="M35" s="14">
        <v>344578</v>
      </c>
      <c r="N35" s="15" t="s">
        <v>45</v>
      </c>
    </row>
    <row r="36" spans="1:14" s="26" customFormat="1" ht="15.75" customHeight="1">
      <c r="A36" s="11" t="s">
        <v>46</v>
      </c>
      <c r="B36" s="12">
        <f>_xlfn.COMPOUNDVALUE(100)</f>
        <v>457</v>
      </c>
      <c r="C36" s="13">
        <v>173633</v>
      </c>
      <c r="D36" s="12">
        <f>_xlfn.COMPOUNDVALUE(81)</f>
        <v>445</v>
      </c>
      <c r="E36" s="13">
        <v>111775</v>
      </c>
      <c r="F36" s="12">
        <f>_xlfn.COMPOUNDVALUE(101)</f>
        <v>902</v>
      </c>
      <c r="G36" s="13">
        <v>285407</v>
      </c>
      <c r="H36" s="12">
        <f>_xlfn.COMPOUNDVALUE(102)</f>
        <v>26</v>
      </c>
      <c r="I36" s="14">
        <v>5374</v>
      </c>
      <c r="J36" s="12">
        <v>56</v>
      </c>
      <c r="K36" s="14">
        <v>7493</v>
      </c>
      <c r="L36" s="12">
        <v>950</v>
      </c>
      <c r="M36" s="14">
        <v>287527</v>
      </c>
      <c r="N36" s="15" t="s">
        <v>46</v>
      </c>
    </row>
    <row r="37" spans="1:14" s="26" customFormat="1" ht="15.75" customHeight="1">
      <c r="A37" s="11" t="s">
        <v>47</v>
      </c>
      <c r="B37" s="12">
        <f>_xlfn.COMPOUNDVALUE(103)</f>
        <v>449</v>
      </c>
      <c r="C37" s="13">
        <v>165269</v>
      </c>
      <c r="D37" s="12">
        <f>_xlfn.COMPOUNDVALUE(104)</f>
        <v>610</v>
      </c>
      <c r="E37" s="13">
        <v>163097</v>
      </c>
      <c r="F37" s="12">
        <f>_xlfn.COMPOUNDVALUE(105)</f>
        <v>1059</v>
      </c>
      <c r="G37" s="13">
        <v>328366</v>
      </c>
      <c r="H37" s="12">
        <f>_xlfn.COMPOUNDVALUE(106)</f>
        <v>27</v>
      </c>
      <c r="I37" s="14">
        <v>2585</v>
      </c>
      <c r="J37" s="12">
        <v>74</v>
      </c>
      <c r="K37" s="14">
        <v>8814</v>
      </c>
      <c r="L37" s="12">
        <v>1106</v>
      </c>
      <c r="M37" s="14">
        <v>334594</v>
      </c>
      <c r="N37" s="15" t="s">
        <v>47</v>
      </c>
    </row>
    <row r="38" spans="1:14" s="26" customFormat="1" ht="15.75" customHeight="1">
      <c r="A38" s="11" t="s">
        <v>48</v>
      </c>
      <c r="B38" s="12">
        <f>_xlfn.COMPOUNDVALUE(107)</f>
        <v>983</v>
      </c>
      <c r="C38" s="13">
        <v>403167</v>
      </c>
      <c r="D38" s="12">
        <f>_xlfn.COMPOUNDVALUE(108)</f>
        <v>1118</v>
      </c>
      <c r="E38" s="13">
        <v>289717</v>
      </c>
      <c r="F38" s="12">
        <f>_xlfn.COMPOUNDVALUE(109)</f>
        <v>2101</v>
      </c>
      <c r="G38" s="13">
        <v>692884</v>
      </c>
      <c r="H38" s="12">
        <f>_xlfn.COMPOUNDVALUE(110)</f>
        <v>31</v>
      </c>
      <c r="I38" s="14">
        <v>4789</v>
      </c>
      <c r="J38" s="12">
        <v>211</v>
      </c>
      <c r="K38" s="14">
        <v>55576</v>
      </c>
      <c r="L38" s="12">
        <v>2190</v>
      </c>
      <c r="M38" s="14">
        <v>743671</v>
      </c>
      <c r="N38" s="15" t="s">
        <v>48</v>
      </c>
    </row>
    <row r="39" spans="1:14" s="26" customFormat="1" ht="15.75" customHeight="1">
      <c r="A39" s="11" t="s">
        <v>49</v>
      </c>
      <c r="B39" s="12">
        <f>_xlfn.COMPOUNDVALUE(111)</f>
        <v>911</v>
      </c>
      <c r="C39" s="13">
        <v>279318</v>
      </c>
      <c r="D39" s="12">
        <f>_xlfn.COMPOUNDVALUE(112)</f>
        <v>914</v>
      </c>
      <c r="E39" s="13">
        <v>244752</v>
      </c>
      <c r="F39" s="12">
        <f>_xlfn.COMPOUNDVALUE(113)</f>
        <v>1825</v>
      </c>
      <c r="G39" s="13">
        <v>524070</v>
      </c>
      <c r="H39" s="12">
        <f>_xlfn.COMPOUNDVALUE(114)</f>
        <v>47</v>
      </c>
      <c r="I39" s="14">
        <v>13544</v>
      </c>
      <c r="J39" s="12">
        <v>102</v>
      </c>
      <c r="K39" s="14">
        <v>23041</v>
      </c>
      <c r="L39" s="12">
        <v>1926</v>
      </c>
      <c r="M39" s="14">
        <v>533567</v>
      </c>
      <c r="N39" s="15" t="s">
        <v>49</v>
      </c>
    </row>
    <row r="40" spans="1:14" s="26" customFormat="1" ht="15.75" customHeight="1">
      <c r="A40" s="11" t="s">
        <v>50</v>
      </c>
      <c r="B40" s="12">
        <f>_xlfn.COMPOUNDVALUE(115)</f>
        <v>1167</v>
      </c>
      <c r="C40" s="13">
        <v>354978</v>
      </c>
      <c r="D40" s="12">
        <f>_xlfn.COMPOUNDVALUE(116)</f>
        <v>1124</v>
      </c>
      <c r="E40" s="13">
        <v>302262</v>
      </c>
      <c r="F40" s="12">
        <f>_xlfn.COMPOUNDVALUE(117)</f>
        <v>2291</v>
      </c>
      <c r="G40" s="13">
        <v>657240</v>
      </c>
      <c r="H40" s="12">
        <f>_xlfn.COMPOUNDVALUE(118)</f>
        <v>74</v>
      </c>
      <c r="I40" s="14">
        <v>34761</v>
      </c>
      <c r="J40" s="12">
        <v>173</v>
      </c>
      <c r="K40" s="14">
        <v>24460</v>
      </c>
      <c r="L40" s="12">
        <v>2439</v>
      </c>
      <c r="M40" s="14">
        <v>646938</v>
      </c>
      <c r="N40" s="15" t="s">
        <v>50</v>
      </c>
    </row>
    <row r="41" spans="1:14" s="26" customFormat="1" ht="15.75" customHeight="1">
      <c r="A41" s="11" t="s">
        <v>51</v>
      </c>
      <c r="B41" s="12">
        <f>_xlfn.COMPOUNDVALUE(119)</f>
        <v>515</v>
      </c>
      <c r="C41" s="13">
        <v>200133</v>
      </c>
      <c r="D41" s="12">
        <f>_xlfn.COMPOUNDVALUE(120)</f>
        <v>593</v>
      </c>
      <c r="E41" s="13">
        <v>177658</v>
      </c>
      <c r="F41" s="12">
        <f>_xlfn.COMPOUNDVALUE(121)</f>
        <v>1108</v>
      </c>
      <c r="G41" s="13">
        <v>377791</v>
      </c>
      <c r="H41" s="12">
        <f>_xlfn.COMPOUNDVALUE(122)</f>
        <v>55</v>
      </c>
      <c r="I41" s="14">
        <v>12837</v>
      </c>
      <c r="J41" s="12">
        <v>77</v>
      </c>
      <c r="K41" s="14">
        <v>12768</v>
      </c>
      <c r="L41" s="12">
        <v>1193</v>
      </c>
      <c r="M41" s="14">
        <v>377722</v>
      </c>
      <c r="N41" s="15" t="s">
        <v>51</v>
      </c>
    </row>
    <row r="42" spans="1:14" s="26" customFormat="1" ht="15.75" customHeight="1">
      <c r="A42" s="11" t="s">
        <v>52</v>
      </c>
      <c r="B42" s="12">
        <f>_xlfn.COMPOUNDVALUE(123)</f>
        <v>1254</v>
      </c>
      <c r="C42" s="13">
        <v>423019</v>
      </c>
      <c r="D42" s="12">
        <f>_xlfn.COMPOUNDVALUE(124)</f>
        <v>1122</v>
      </c>
      <c r="E42" s="13">
        <v>292254</v>
      </c>
      <c r="F42" s="12">
        <f>_xlfn.COMPOUNDVALUE(125)</f>
        <v>2376</v>
      </c>
      <c r="G42" s="13">
        <v>715272</v>
      </c>
      <c r="H42" s="12">
        <f>_xlfn.COMPOUNDVALUE(126)</f>
        <v>73</v>
      </c>
      <c r="I42" s="14">
        <v>19706</v>
      </c>
      <c r="J42" s="12">
        <v>172</v>
      </c>
      <c r="K42" s="14">
        <v>55917</v>
      </c>
      <c r="L42" s="12">
        <v>2533</v>
      </c>
      <c r="M42" s="14">
        <v>751483</v>
      </c>
      <c r="N42" s="15" t="s">
        <v>52</v>
      </c>
    </row>
    <row r="43" spans="1:14" s="26" customFormat="1" ht="15.75" customHeight="1">
      <c r="A43" s="11" t="s">
        <v>53</v>
      </c>
      <c r="B43" s="12">
        <f>_xlfn.COMPOUNDVALUE(127)</f>
        <v>1822</v>
      </c>
      <c r="C43" s="13">
        <v>632283</v>
      </c>
      <c r="D43" s="12">
        <f>_xlfn.COMPOUNDVALUE(128)</f>
        <v>1909</v>
      </c>
      <c r="E43" s="13">
        <v>507532</v>
      </c>
      <c r="F43" s="12">
        <f>_xlfn.COMPOUNDVALUE(129)</f>
        <v>3731</v>
      </c>
      <c r="G43" s="13">
        <v>1139814</v>
      </c>
      <c r="H43" s="12">
        <f>_xlfn.COMPOUNDVALUE(130)</f>
        <v>126</v>
      </c>
      <c r="I43" s="14">
        <v>48532</v>
      </c>
      <c r="J43" s="12">
        <v>304</v>
      </c>
      <c r="K43" s="14">
        <v>64286</v>
      </c>
      <c r="L43" s="12">
        <v>3951</v>
      </c>
      <c r="M43" s="14">
        <v>1155568</v>
      </c>
      <c r="N43" s="15" t="s">
        <v>53</v>
      </c>
    </row>
    <row r="44" spans="1:14" s="26" customFormat="1" ht="15.75" customHeight="1">
      <c r="A44" s="11" t="s">
        <v>54</v>
      </c>
      <c r="B44" s="12">
        <f>_xlfn.COMPOUNDVALUE(131)</f>
        <v>664</v>
      </c>
      <c r="C44" s="13">
        <v>247591</v>
      </c>
      <c r="D44" s="12">
        <f>_xlfn.COMPOUNDVALUE(132)</f>
        <v>534</v>
      </c>
      <c r="E44" s="13">
        <v>141808</v>
      </c>
      <c r="F44" s="12">
        <f>_xlfn.COMPOUNDVALUE(133)</f>
        <v>1198</v>
      </c>
      <c r="G44" s="13">
        <v>389400</v>
      </c>
      <c r="H44" s="12">
        <f>_xlfn.COMPOUNDVALUE(134)</f>
        <v>36</v>
      </c>
      <c r="I44" s="14">
        <v>8423</v>
      </c>
      <c r="J44" s="12">
        <v>83</v>
      </c>
      <c r="K44" s="14">
        <v>22002</v>
      </c>
      <c r="L44" s="12">
        <v>1260</v>
      </c>
      <c r="M44" s="14">
        <v>402978</v>
      </c>
      <c r="N44" s="15" t="s">
        <v>54</v>
      </c>
    </row>
    <row r="45" spans="1:14" s="26" customFormat="1" ht="15.75" customHeight="1">
      <c r="A45" s="11" t="s">
        <v>55</v>
      </c>
      <c r="B45" s="12">
        <f>_xlfn.COMPOUNDVALUE(135)</f>
        <v>1656</v>
      </c>
      <c r="C45" s="13">
        <v>621578</v>
      </c>
      <c r="D45" s="12">
        <f>_xlfn.COMPOUNDVALUE(136)</f>
        <v>1422</v>
      </c>
      <c r="E45" s="13">
        <v>408919</v>
      </c>
      <c r="F45" s="12">
        <f>_xlfn.COMPOUNDVALUE(137)</f>
        <v>3078</v>
      </c>
      <c r="G45" s="13">
        <v>1030497</v>
      </c>
      <c r="H45" s="12">
        <f>_xlfn.COMPOUNDVALUE(138)</f>
        <v>102</v>
      </c>
      <c r="I45" s="14">
        <v>75500</v>
      </c>
      <c r="J45" s="12">
        <v>236</v>
      </c>
      <c r="K45" s="14">
        <v>45505</v>
      </c>
      <c r="L45" s="12">
        <v>3292</v>
      </c>
      <c r="M45" s="14">
        <v>1000502</v>
      </c>
      <c r="N45" s="15" t="s">
        <v>55</v>
      </c>
    </row>
    <row r="46" spans="1:14" s="26" customFormat="1" ht="15.75" customHeight="1">
      <c r="A46" s="11" t="s">
        <v>56</v>
      </c>
      <c r="B46" s="12">
        <f>_xlfn.COMPOUNDVALUE(139)</f>
        <v>1157</v>
      </c>
      <c r="C46" s="13">
        <v>876300</v>
      </c>
      <c r="D46" s="12">
        <f>_xlfn.COMPOUNDVALUE(140)</f>
        <v>1411</v>
      </c>
      <c r="E46" s="13">
        <v>549563</v>
      </c>
      <c r="F46" s="12">
        <f>_xlfn.COMPOUNDVALUE(141)</f>
        <v>2568</v>
      </c>
      <c r="G46" s="13">
        <v>1425863</v>
      </c>
      <c r="H46" s="12">
        <f>_xlfn.COMPOUNDVALUE(142)</f>
        <v>69</v>
      </c>
      <c r="I46" s="14">
        <v>24282</v>
      </c>
      <c r="J46" s="12">
        <v>163</v>
      </c>
      <c r="K46" s="14">
        <v>52174</v>
      </c>
      <c r="L46" s="12">
        <v>2715</v>
      </c>
      <c r="M46" s="14">
        <v>1453756</v>
      </c>
      <c r="N46" s="15" t="s">
        <v>56</v>
      </c>
    </row>
    <row r="47" spans="1:14" s="26" customFormat="1" ht="15.75" customHeight="1">
      <c r="A47" s="11" t="s">
        <v>57</v>
      </c>
      <c r="B47" s="12">
        <f>_xlfn.COMPOUNDVALUE(143)</f>
        <v>531</v>
      </c>
      <c r="C47" s="13">
        <v>252784</v>
      </c>
      <c r="D47" s="12">
        <f>_xlfn.COMPOUNDVALUE(144)</f>
        <v>518</v>
      </c>
      <c r="E47" s="13">
        <v>163899</v>
      </c>
      <c r="F47" s="12">
        <f>_xlfn.COMPOUNDVALUE(145)</f>
        <v>1049</v>
      </c>
      <c r="G47" s="13">
        <v>416683</v>
      </c>
      <c r="H47" s="12">
        <f>_xlfn.COMPOUNDVALUE(146)</f>
        <v>50</v>
      </c>
      <c r="I47" s="14">
        <v>15605</v>
      </c>
      <c r="J47" s="12">
        <v>53</v>
      </c>
      <c r="K47" s="14">
        <v>10626</v>
      </c>
      <c r="L47" s="12">
        <v>1124</v>
      </c>
      <c r="M47" s="14">
        <v>411703</v>
      </c>
      <c r="N47" s="15" t="s">
        <v>57</v>
      </c>
    </row>
    <row r="48" spans="1:14" s="26" customFormat="1" ht="15.75" customHeight="1">
      <c r="A48" s="11" t="s">
        <v>58</v>
      </c>
      <c r="B48" s="12">
        <f>_xlfn.COMPOUNDVALUE(147)</f>
        <v>859</v>
      </c>
      <c r="C48" s="13">
        <v>705565</v>
      </c>
      <c r="D48" s="12">
        <f>_xlfn.COMPOUNDVALUE(148)</f>
        <v>1006</v>
      </c>
      <c r="E48" s="13">
        <v>382331</v>
      </c>
      <c r="F48" s="12">
        <f>_xlfn.COMPOUNDVALUE(149)</f>
        <v>1865</v>
      </c>
      <c r="G48" s="13">
        <v>1087895</v>
      </c>
      <c r="H48" s="12">
        <f>_xlfn.COMPOUNDVALUE(150)</f>
        <v>96</v>
      </c>
      <c r="I48" s="14">
        <v>126560</v>
      </c>
      <c r="J48" s="12">
        <v>86</v>
      </c>
      <c r="K48" s="14">
        <v>7326</v>
      </c>
      <c r="L48" s="12">
        <v>1973</v>
      </c>
      <c r="M48" s="14">
        <v>968661</v>
      </c>
      <c r="N48" s="15" t="s">
        <v>58</v>
      </c>
    </row>
    <row r="49" spans="1:14" s="26" customFormat="1" ht="15.75" customHeight="1">
      <c r="A49" s="11" t="s">
        <v>59</v>
      </c>
      <c r="B49" s="12">
        <f>_xlfn.COMPOUNDVALUE(151)</f>
        <v>902</v>
      </c>
      <c r="C49" s="13">
        <v>494979</v>
      </c>
      <c r="D49" s="12">
        <f>_xlfn.COMPOUNDVALUE(152)</f>
        <v>854</v>
      </c>
      <c r="E49" s="13">
        <v>276258</v>
      </c>
      <c r="F49" s="12">
        <f>_xlfn.COMPOUNDVALUE(153)</f>
        <v>1756</v>
      </c>
      <c r="G49" s="13">
        <v>771237</v>
      </c>
      <c r="H49" s="12">
        <f>_xlfn.COMPOUNDVALUE(154)</f>
        <v>64</v>
      </c>
      <c r="I49" s="14">
        <v>48426</v>
      </c>
      <c r="J49" s="12">
        <v>173</v>
      </c>
      <c r="K49" s="14">
        <v>62046</v>
      </c>
      <c r="L49" s="12">
        <v>1915</v>
      </c>
      <c r="M49" s="14">
        <v>784857</v>
      </c>
      <c r="N49" s="15" t="s">
        <v>59</v>
      </c>
    </row>
    <row r="50" spans="1:14" s="26" customFormat="1" ht="15.75" customHeight="1">
      <c r="A50" s="11" t="s">
        <v>60</v>
      </c>
      <c r="B50" s="12">
        <f>_xlfn.COMPOUNDVALUE(155)</f>
        <v>3614</v>
      </c>
      <c r="C50" s="13">
        <v>1203675</v>
      </c>
      <c r="D50" s="12">
        <f>_xlfn.COMPOUNDVALUE(156)</f>
        <v>3127</v>
      </c>
      <c r="E50" s="13">
        <v>846392</v>
      </c>
      <c r="F50" s="12">
        <f>_xlfn.COMPOUNDVALUE(157)</f>
        <v>6741</v>
      </c>
      <c r="G50" s="13">
        <v>2050067</v>
      </c>
      <c r="H50" s="12">
        <f>_xlfn.COMPOUNDVALUE(158)</f>
        <v>214</v>
      </c>
      <c r="I50" s="14">
        <v>95288</v>
      </c>
      <c r="J50" s="12">
        <v>436</v>
      </c>
      <c r="K50" s="14">
        <v>83732</v>
      </c>
      <c r="L50" s="12">
        <v>7161</v>
      </c>
      <c r="M50" s="14">
        <v>2038510</v>
      </c>
      <c r="N50" s="15" t="s">
        <v>60</v>
      </c>
    </row>
    <row r="51" spans="1:14" s="26" customFormat="1" ht="15.75" customHeight="1">
      <c r="A51" s="11" t="s">
        <v>61</v>
      </c>
      <c r="B51" s="12">
        <f>_xlfn.COMPOUNDVALUE(159)</f>
        <v>1597</v>
      </c>
      <c r="C51" s="13">
        <v>533987</v>
      </c>
      <c r="D51" s="12">
        <f>_xlfn.COMPOUNDVALUE(160)</f>
        <v>1257</v>
      </c>
      <c r="E51" s="13">
        <v>316807</v>
      </c>
      <c r="F51" s="12">
        <f>_xlfn.COMPOUNDVALUE(161)</f>
        <v>2854</v>
      </c>
      <c r="G51" s="13">
        <v>850793</v>
      </c>
      <c r="H51" s="12">
        <f>_xlfn.COMPOUNDVALUE(162)</f>
        <v>74</v>
      </c>
      <c r="I51" s="14">
        <v>18076</v>
      </c>
      <c r="J51" s="12">
        <v>244</v>
      </c>
      <c r="K51" s="14">
        <v>23703</v>
      </c>
      <c r="L51" s="12">
        <v>3033</v>
      </c>
      <c r="M51" s="14">
        <v>856420</v>
      </c>
      <c r="N51" s="15" t="s">
        <v>61</v>
      </c>
    </row>
    <row r="52" spans="1:14" s="26" customFormat="1" ht="15.75" customHeight="1">
      <c r="A52" s="11" t="s">
        <v>62</v>
      </c>
      <c r="B52" s="12">
        <f>_xlfn.COMPOUNDVALUE(163)</f>
        <v>2610</v>
      </c>
      <c r="C52" s="13">
        <v>1077997</v>
      </c>
      <c r="D52" s="12">
        <f>_xlfn.COMPOUNDVALUE(136)</f>
        <v>3013</v>
      </c>
      <c r="E52" s="13">
        <v>816548</v>
      </c>
      <c r="F52" s="12">
        <f>_xlfn.COMPOUNDVALUE(164)</f>
        <v>5623</v>
      </c>
      <c r="G52" s="13">
        <v>1894545</v>
      </c>
      <c r="H52" s="12">
        <f>_xlfn.COMPOUNDVALUE(165)</f>
        <v>188</v>
      </c>
      <c r="I52" s="14">
        <v>77799</v>
      </c>
      <c r="J52" s="12">
        <v>482</v>
      </c>
      <c r="K52" s="14">
        <v>102977</v>
      </c>
      <c r="L52" s="12">
        <v>6015</v>
      </c>
      <c r="M52" s="14">
        <v>1919722</v>
      </c>
      <c r="N52" s="15" t="s">
        <v>62</v>
      </c>
    </row>
    <row r="53" spans="1:14" s="26" customFormat="1" ht="15.75" customHeight="1">
      <c r="A53" s="11" t="s">
        <v>63</v>
      </c>
      <c r="B53" s="12">
        <f>_xlfn.COMPOUNDVALUE(166)</f>
        <v>1566</v>
      </c>
      <c r="C53" s="13">
        <v>584072</v>
      </c>
      <c r="D53" s="12">
        <f>_xlfn.COMPOUNDVALUE(167)</f>
        <v>1788</v>
      </c>
      <c r="E53" s="13">
        <v>522743</v>
      </c>
      <c r="F53" s="12">
        <f>_xlfn.COMPOUNDVALUE(168)</f>
        <v>3354</v>
      </c>
      <c r="G53" s="13">
        <v>1106815</v>
      </c>
      <c r="H53" s="12">
        <f>_xlfn.COMPOUNDVALUE(169)</f>
        <v>121</v>
      </c>
      <c r="I53" s="14">
        <v>54537</v>
      </c>
      <c r="J53" s="12">
        <v>248</v>
      </c>
      <c r="K53" s="14">
        <v>48349</v>
      </c>
      <c r="L53" s="12">
        <v>3562</v>
      </c>
      <c r="M53" s="14">
        <v>1100627</v>
      </c>
      <c r="N53" s="15" t="s">
        <v>63</v>
      </c>
    </row>
    <row r="54" spans="1:14" s="26" customFormat="1" ht="15.75" customHeight="1">
      <c r="A54" s="11" t="s">
        <v>64</v>
      </c>
      <c r="B54" s="12">
        <f>_xlfn.COMPOUNDVALUE(170)</f>
        <v>1565</v>
      </c>
      <c r="C54" s="13">
        <v>485016</v>
      </c>
      <c r="D54" s="12">
        <f>_xlfn.COMPOUNDVALUE(171)</f>
        <v>1222</v>
      </c>
      <c r="E54" s="13">
        <v>308678</v>
      </c>
      <c r="F54" s="12">
        <f>_xlfn.COMPOUNDVALUE(172)</f>
        <v>2787</v>
      </c>
      <c r="G54" s="13">
        <v>793694</v>
      </c>
      <c r="H54" s="12">
        <f>_xlfn.COMPOUNDVALUE(173)</f>
        <v>103</v>
      </c>
      <c r="I54" s="14">
        <v>60751</v>
      </c>
      <c r="J54" s="12">
        <v>213</v>
      </c>
      <c r="K54" s="14">
        <v>34745</v>
      </c>
      <c r="L54" s="12">
        <v>2987</v>
      </c>
      <c r="M54" s="14">
        <v>767688</v>
      </c>
      <c r="N54" s="15" t="s">
        <v>64</v>
      </c>
    </row>
    <row r="55" spans="1:14" s="26" customFormat="1" ht="15.75" customHeight="1">
      <c r="A55" s="16" t="s">
        <v>65</v>
      </c>
      <c r="B55" s="17">
        <f>_xlfn.COMPOUNDVALUE(174)</f>
        <v>2661</v>
      </c>
      <c r="C55" s="18">
        <v>832147</v>
      </c>
      <c r="D55" s="17">
        <f>_xlfn.COMPOUNDVALUE(175)</f>
        <v>2496</v>
      </c>
      <c r="E55" s="18">
        <v>702720</v>
      </c>
      <c r="F55" s="17">
        <f>_xlfn.COMPOUNDVALUE(176)</f>
        <v>5157</v>
      </c>
      <c r="G55" s="18">
        <v>1534866</v>
      </c>
      <c r="H55" s="17">
        <f>_xlfn.COMPOUNDVALUE(177)</f>
        <v>211</v>
      </c>
      <c r="I55" s="19">
        <v>85230</v>
      </c>
      <c r="J55" s="17">
        <v>566</v>
      </c>
      <c r="K55" s="19">
        <v>97467</v>
      </c>
      <c r="L55" s="17">
        <v>5588</v>
      </c>
      <c r="M55" s="19">
        <v>1547104</v>
      </c>
      <c r="N55" s="20" t="s">
        <v>65</v>
      </c>
    </row>
    <row r="56" spans="1:14" s="26" customFormat="1" ht="15.75" customHeight="1">
      <c r="A56" s="16" t="s">
        <v>66</v>
      </c>
      <c r="B56" s="17">
        <f>_xlfn.COMPOUNDVALUE(178)</f>
        <v>2134</v>
      </c>
      <c r="C56" s="18">
        <v>741579</v>
      </c>
      <c r="D56" s="17">
        <f>_xlfn.COMPOUNDVALUE(179)</f>
        <v>2107</v>
      </c>
      <c r="E56" s="18">
        <v>572091</v>
      </c>
      <c r="F56" s="17">
        <f>_xlfn.COMPOUNDVALUE(180)</f>
        <v>4241</v>
      </c>
      <c r="G56" s="18">
        <v>1313670</v>
      </c>
      <c r="H56" s="17">
        <f>_xlfn.COMPOUNDVALUE(181)</f>
        <v>133</v>
      </c>
      <c r="I56" s="19">
        <v>64835</v>
      </c>
      <c r="J56" s="17">
        <v>352</v>
      </c>
      <c r="K56" s="19">
        <v>71042</v>
      </c>
      <c r="L56" s="17">
        <v>4542</v>
      </c>
      <c r="M56" s="19">
        <v>1319877</v>
      </c>
      <c r="N56" s="20" t="s">
        <v>66</v>
      </c>
    </row>
    <row r="57" spans="1:14" s="26" customFormat="1" ht="15.75" customHeight="1">
      <c r="A57" s="16" t="s">
        <v>67</v>
      </c>
      <c r="B57" s="17">
        <f>_xlfn.COMPOUNDVALUE(182)</f>
        <v>2536</v>
      </c>
      <c r="C57" s="18">
        <v>866621</v>
      </c>
      <c r="D57" s="17">
        <f>_xlfn.COMPOUNDVALUE(183)</f>
        <v>2465</v>
      </c>
      <c r="E57" s="18">
        <v>627324</v>
      </c>
      <c r="F57" s="17">
        <f>_xlfn.COMPOUNDVALUE(184)</f>
        <v>5001</v>
      </c>
      <c r="G57" s="18">
        <v>1493945</v>
      </c>
      <c r="H57" s="17">
        <f>_xlfn.COMPOUNDVALUE(185)</f>
        <v>127</v>
      </c>
      <c r="I57" s="19">
        <v>108998</v>
      </c>
      <c r="J57" s="17">
        <v>445</v>
      </c>
      <c r="K57" s="19">
        <v>84587</v>
      </c>
      <c r="L57" s="17">
        <v>5288</v>
      </c>
      <c r="M57" s="19">
        <v>1469535</v>
      </c>
      <c r="N57" s="20" t="s">
        <v>67</v>
      </c>
    </row>
    <row r="58" spans="1:14" s="26" customFormat="1" ht="15.75" customHeight="1">
      <c r="A58" s="16" t="s">
        <v>68</v>
      </c>
      <c r="B58" s="17">
        <f>_xlfn.COMPOUNDVALUE(186)</f>
        <v>1396</v>
      </c>
      <c r="C58" s="18">
        <v>441485</v>
      </c>
      <c r="D58" s="17">
        <f>_xlfn.COMPOUNDVALUE(187)</f>
        <v>1120</v>
      </c>
      <c r="E58" s="18">
        <v>281269</v>
      </c>
      <c r="F58" s="17">
        <f>_xlfn.COMPOUNDVALUE(188)</f>
        <v>2516</v>
      </c>
      <c r="G58" s="18">
        <v>722753</v>
      </c>
      <c r="H58" s="17">
        <f>_xlfn.COMPOUNDVALUE(189)</f>
        <v>77</v>
      </c>
      <c r="I58" s="19">
        <v>20062</v>
      </c>
      <c r="J58" s="17">
        <v>171</v>
      </c>
      <c r="K58" s="19">
        <v>20356</v>
      </c>
      <c r="L58" s="17">
        <v>2628</v>
      </c>
      <c r="M58" s="19">
        <v>723048</v>
      </c>
      <c r="N58" s="20" t="s">
        <v>68</v>
      </c>
    </row>
    <row r="59" spans="1:14" s="26" customFormat="1" ht="15.75" customHeight="1">
      <c r="A59" s="16" t="s">
        <v>69</v>
      </c>
      <c r="B59" s="17">
        <f>_xlfn.COMPOUNDVALUE(190)</f>
        <v>2644</v>
      </c>
      <c r="C59" s="18">
        <v>881107</v>
      </c>
      <c r="D59" s="17">
        <f>_xlfn.COMPOUNDVALUE(191)</f>
        <v>2162</v>
      </c>
      <c r="E59" s="18">
        <v>566081</v>
      </c>
      <c r="F59" s="17">
        <f>_xlfn.COMPOUNDVALUE(192)</f>
        <v>4806</v>
      </c>
      <c r="G59" s="18">
        <v>1447188</v>
      </c>
      <c r="H59" s="17">
        <f>_xlfn.COMPOUNDVALUE(193)</f>
        <v>164</v>
      </c>
      <c r="I59" s="19">
        <v>39650</v>
      </c>
      <c r="J59" s="17">
        <v>339</v>
      </c>
      <c r="K59" s="19">
        <v>63336</v>
      </c>
      <c r="L59" s="17">
        <v>5106</v>
      </c>
      <c r="M59" s="19">
        <v>1470873</v>
      </c>
      <c r="N59" s="20" t="s">
        <v>69</v>
      </c>
    </row>
    <row r="60" spans="1:14" s="26" customFormat="1" ht="15.75" customHeight="1">
      <c r="A60" s="16" t="s">
        <v>70</v>
      </c>
      <c r="B60" s="17">
        <f>_xlfn.COMPOUNDVALUE(194)</f>
        <v>2395</v>
      </c>
      <c r="C60" s="18">
        <v>711274</v>
      </c>
      <c r="D60" s="17">
        <f>_xlfn.COMPOUNDVALUE(195)</f>
        <v>2107</v>
      </c>
      <c r="E60" s="18">
        <v>570530</v>
      </c>
      <c r="F60" s="17">
        <f>_xlfn.COMPOUNDVALUE(196)</f>
        <v>4502</v>
      </c>
      <c r="G60" s="18">
        <v>1281804</v>
      </c>
      <c r="H60" s="17">
        <f>_xlfn.COMPOUNDVALUE(197)</f>
        <v>115</v>
      </c>
      <c r="I60" s="19">
        <v>32310</v>
      </c>
      <c r="J60" s="17">
        <v>425</v>
      </c>
      <c r="K60" s="19">
        <v>54512</v>
      </c>
      <c r="L60" s="17">
        <v>4825</v>
      </c>
      <c r="M60" s="19">
        <v>1304006</v>
      </c>
      <c r="N60" s="20" t="s">
        <v>70</v>
      </c>
    </row>
    <row r="61" spans="1:14" s="26" customFormat="1" ht="15.75" customHeight="1">
      <c r="A61" s="16" t="s">
        <v>71</v>
      </c>
      <c r="B61" s="17">
        <f>_xlfn.COMPOUNDVALUE(198)</f>
        <v>2965</v>
      </c>
      <c r="C61" s="18">
        <v>1114122</v>
      </c>
      <c r="D61" s="17">
        <f>_xlfn.COMPOUNDVALUE(199)</f>
        <v>3233</v>
      </c>
      <c r="E61" s="18">
        <v>888179</v>
      </c>
      <c r="F61" s="17">
        <f>_xlfn.COMPOUNDVALUE(200)</f>
        <v>6198</v>
      </c>
      <c r="G61" s="18">
        <v>2002301</v>
      </c>
      <c r="H61" s="17">
        <f>_xlfn.COMPOUNDVALUE(201)</f>
        <v>196</v>
      </c>
      <c r="I61" s="19">
        <v>65331</v>
      </c>
      <c r="J61" s="17">
        <v>408</v>
      </c>
      <c r="K61" s="19">
        <v>79714</v>
      </c>
      <c r="L61" s="17">
        <v>6537</v>
      </c>
      <c r="M61" s="19">
        <v>2016684</v>
      </c>
      <c r="N61" s="20" t="s">
        <v>71</v>
      </c>
    </row>
    <row r="62" spans="1:14" s="26" customFormat="1" ht="15.75" customHeight="1">
      <c r="A62" s="21" t="s">
        <v>72</v>
      </c>
      <c r="B62" s="22">
        <v>44484</v>
      </c>
      <c r="C62" s="23">
        <v>16846732</v>
      </c>
      <c r="D62" s="22">
        <v>42824</v>
      </c>
      <c r="E62" s="23">
        <v>11919154</v>
      </c>
      <c r="F62" s="22">
        <v>87308</v>
      </c>
      <c r="G62" s="23">
        <v>28765886</v>
      </c>
      <c r="H62" s="22">
        <v>2882</v>
      </c>
      <c r="I62" s="24">
        <v>1292755</v>
      </c>
      <c r="J62" s="22">
        <v>6754</v>
      </c>
      <c r="K62" s="24">
        <v>1328018</v>
      </c>
      <c r="L62" s="22">
        <v>92935</v>
      </c>
      <c r="M62" s="24">
        <v>28801148</v>
      </c>
      <c r="N62" s="25" t="s">
        <v>133</v>
      </c>
    </row>
    <row r="63" spans="1:14" s="26" customFormat="1" ht="15.75" customHeight="1">
      <c r="A63" s="35"/>
      <c r="B63" s="36"/>
      <c r="C63" s="37"/>
      <c r="D63" s="36"/>
      <c r="E63" s="37"/>
      <c r="F63" s="38"/>
      <c r="G63" s="37"/>
      <c r="H63" s="38"/>
      <c r="I63" s="37"/>
      <c r="J63" s="38"/>
      <c r="K63" s="37"/>
      <c r="L63" s="38"/>
      <c r="M63" s="37"/>
      <c r="N63" s="39"/>
    </row>
    <row r="64" spans="1:14" s="26" customFormat="1" ht="15.75" customHeight="1">
      <c r="A64" s="11" t="s">
        <v>73</v>
      </c>
      <c r="B64" s="12">
        <f>_xlfn.COMPOUNDVALUE(202)</f>
        <v>571</v>
      </c>
      <c r="C64" s="13">
        <v>195266</v>
      </c>
      <c r="D64" s="12">
        <f>_xlfn.COMPOUNDVALUE(203)</f>
        <v>589</v>
      </c>
      <c r="E64" s="13">
        <v>159429</v>
      </c>
      <c r="F64" s="12">
        <f>_xlfn.COMPOUNDVALUE(204)</f>
        <v>1160</v>
      </c>
      <c r="G64" s="13">
        <v>354695</v>
      </c>
      <c r="H64" s="12">
        <f>_xlfn.COMPOUNDVALUE(205)</f>
        <v>63</v>
      </c>
      <c r="I64" s="14">
        <v>17782</v>
      </c>
      <c r="J64" s="12">
        <v>73</v>
      </c>
      <c r="K64" s="14">
        <v>20490</v>
      </c>
      <c r="L64" s="12">
        <v>1267</v>
      </c>
      <c r="M64" s="14">
        <v>357403</v>
      </c>
      <c r="N64" s="40" t="s">
        <v>73</v>
      </c>
    </row>
    <row r="65" spans="1:14" s="26" customFormat="1" ht="15.75" customHeight="1">
      <c r="A65" s="11" t="s">
        <v>74</v>
      </c>
      <c r="B65" s="12">
        <f>_xlfn.COMPOUNDVALUE(206)</f>
        <v>1517</v>
      </c>
      <c r="C65" s="13">
        <v>544857</v>
      </c>
      <c r="D65" s="12">
        <f>_xlfn.COMPOUNDVALUE(207)</f>
        <v>1417</v>
      </c>
      <c r="E65" s="13">
        <v>372170</v>
      </c>
      <c r="F65" s="12">
        <f>_xlfn.COMPOUNDVALUE(208)</f>
        <v>2934</v>
      </c>
      <c r="G65" s="13">
        <v>917027</v>
      </c>
      <c r="H65" s="12">
        <f>_xlfn.COMPOUNDVALUE(209)</f>
        <v>161</v>
      </c>
      <c r="I65" s="14">
        <v>119446</v>
      </c>
      <c r="J65" s="12">
        <v>230</v>
      </c>
      <c r="K65" s="14">
        <v>32868</v>
      </c>
      <c r="L65" s="12">
        <v>3188</v>
      </c>
      <c r="M65" s="14">
        <v>830449</v>
      </c>
      <c r="N65" s="15" t="s">
        <v>74</v>
      </c>
    </row>
    <row r="66" spans="1:14" s="26" customFormat="1" ht="15.75" customHeight="1">
      <c r="A66" s="11" t="s">
        <v>75</v>
      </c>
      <c r="B66" s="12">
        <f>_xlfn.COMPOUNDVALUE(210)</f>
        <v>607</v>
      </c>
      <c r="C66" s="13">
        <v>250921</v>
      </c>
      <c r="D66" s="12">
        <f>_xlfn.COMPOUNDVALUE(211)</f>
        <v>543</v>
      </c>
      <c r="E66" s="13">
        <v>131983</v>
      </c>
      <c r="F66" s="12">
        <f>_xlfn.COMPOUNDVALUE(212)</f>
        <v>1150</v>
      </c>
      <c r="G66" s="13">
        <v>382904</v>
      </c>
      <c r="H66" s="12">
        <f>_xlfn.COMPOUNDVALUE(213)</f>
        <v>37</v>
      </c>
      <c r="I66" s="14">
        <v>8131</v>
      </c>
      <c r="J66" s="12">
        <v>145</v>
      </c>
      <c r="K66" s="14">
        <v>44684</v>
      </c>
      <c r="L66" s="12">
        <v>1241</v>
      </c>
      <c r="M66" s="14">
        <v>419457</v>
      </c>
      <c r="N66" s="15" t="s">
        <v>75</v>
      </c>
    </row>
    <row r="67" spans="1:14" s="26" customFormat="1" ht="15.75" customHeight="1">
      <c r="A67" s="11" t="s">
        <v>76</v>
      </c>
      <c r="B67" s="12">
        <f>_xlfn.COMPOUNDVALUE(214)</f>
        <v>1098</v>
      </c>
      <c r="C67" s="13">
        <v>352233</v>
      </c>
      <c r="D67" s="12">
        <f>_xlfn.COMPOUNDVALUE(207)</f>
        <v>1118</v>
      </c>
      <c r="E67" s="13">
        <v>304611</v>
      </c>
      <c r="F67" s="12">
        <f>_xlfn.COMPOUNDVALUE(215)</f>
        <v>2216</v>
      </c>
      <c r="G67" s="13">
        <v>656844</v>
      </c>
      <c r="H67" s="12">
        <f>_xlfn.COMPOUNDVALUE(216)</f>
        <v>145</v>
      </c>
      <c r="I67" s="14">
        <v>61205</v>
      </c>
      <c r="J67" s="12">
        <v>206</v>
      </c>
      <c r="K67" s="14">
        <v>42610</v>
      </c>
      <c r="L67" s="12">
        <v>2438</v>
      </c>
      <c r="M67" s="14">
        <v>638249</v>
      </c>
      <c r="N67" s="15" t="s">
        <v>76</v>
      </c>
    </row>
    <row r="68" spans="1:14" s="26" customFormat="1" ht="15.75" customHeight="1">
      <c r="A68" s="11" t="s">
        <v>77</v>
      </c>
      <c r="B68" s="12">
        <f>_xlfn.COMPOUNDVALUE(217)</f>
        <v>1012</v>
      </c>
      <c r="C68" s="13">
        <v>495797</v>
      </c>
      <c r="D68" s="12">
        <f>_xlfn.COMPOUNDVALUE(218)</f>
        <v>1224</v>
      </c>
      <c r="E68" s="13">
        <v>400044</v>
      </c>
      <c r="F68" s="12">
        <f>_xlfn.COMPOUNDVALUE(219)</f>
        <v>2236</v>
      </c>
      <c r="G68" s="13">
        <v>895842</v>
      </c>
      <c r="H68" s="12">
        <f>_xlfn.COMPOUNDVALUE(220)</f>
        <v>379</v>
      </c>
      <c r="I68" s="14">
        <v>239472</v>
      </c>
      <c r="J68" s="12">
        <v>213</v>
      </c>
      <c r="K68" s="14">
        <v>47848</v>
      </c>
      <c r="L68" s="12">
        <v>2678</v>
      </c>
      <c r="M68" s="14">
        <v>704218</v>
      </c>
      <c r="N68" s="15" t="s">
        <v>77</v>
      </c>
    </row>
    <row r="69" spans="1:14" s="26" customFormat="1" ht="15.75" customHeight="1">
      <c r="A69" s="11" t="s">
        <v>78</v>
      </c>
      <c r="B69" s="12">
        <f>_xlfn.COMPOUNDVALUE(221)</f>
        <v>3013</v>
      </c>
      <c r="C69" s="13">
        <v>1203607</v>
      </c>
      <c r="D69" s="12">
        <f>_xlfn.COMPOUNDVALUE(222)</f>
        <v>2806</v>
      </c>
      <c r="E69" s="13">
        <v>750542</v>
      </c>
      <c r="F69" s="12">
        <f>_xlfn.COMPOUNDVALUE(223)</f>
        <v>5819</v>
      </c>
      <c r="G69" s="13">
        <v>1954148</v>
      </c>
      <c r="H69" s="12">
        <f>_xlfn.COMPOUNDVALUE(224)</f>
        <v>143</v>
      </c>
      <c r="I69" s="14">
        <v>102452</v>
      </c>
      <c r="J69" s="12">
        <v>401</v>
      </c>
      <c r="K69" s="14">
        <v>70147</v>
      </c>
      <c r="L69" s="12">
        <v>6151</v>
      </c>
      <c r="M69" s="14">
        <v>1921843</v>
      </c>
      <c r="N69" s="15" t="s">
        <v>78</v>
      </c>
    </row>
    <row r="70" spans="1:14" s="26" customFormat="1" ht="15.75" customHeight="1">
      <c r="A70" s="11" t="s">
        <v>79</v>
      </c>
      <c r="B70" s="12">
        <f>_xlfn.COMPOUNDVALUE(225)</f>
        <v>1953</v>
      </c>
      <c r="C70" s="13">
        <v>695848</v>
      </c>
      <c r="D70" s="12">
        <f>_xlfn.COMPOUNDVALUE(226)</f>
        <v>2075</v>
      </c>
      <c r="E70" s="13">
        <v>572682</v>
      </c>
      <c r="F70" s="12">
        <f>_xlfn.COMPOUNDVALUE(227)</f>
        <v>4028</v>
      </c>
      <c r="G70" s="13">
        <v>1268530</v>
      </c>
      <c r="H70" s="12">
        <f>_xlfn.COMPOUNDVALUE(228)</f>
        <v>85</v>
      </c>
      <c r="I70" s="14">
        <v>43919</v>
      </c>
      <c r="J70" s="12">
        <v>388</v>
      </c>
      <c r="K70" s="14">
        <v>75872</v>
      </c>
      <c r="L70" s="12">
        <v>4281</v>
      </c>
      <c r="M70" s="14">
        <v>1300483</v>
      </c>
      <c r="N70" s="15" t="s">
        <v>79</v>
      </c>
    </row>
    <row r="71" spans="1:14" s="26" customFormat="1" ht="15.75" customHeight="1">
      <c r="A71" s="11" t="s">
        <v>80</v>
      </c>
      <c r="B71" s="12">
        <f>_xlfn.COMPOUNDVALUE(229)</f>
        <v>1595</v>
      </c>
      <c r="C71" s="13">
        <v>503647</v>
      </c>
      <c r="D71" s="12">
        <f>_xlfn.COMPOUNDVALUE(230)</f>
        <v>2222</v>
      </c>
      <c r="E71" s="13">
        <v>563688</v>
      </c>
      <c r="F71" s="12">
        <f>_xlfn.COMPOUNDVALUE(231)</f>
        <v>3817</v>
      </c>
      <c r="G71" s="13">
        <v>1067335</v>
      </c>
      <c r="H71" s="12">
        <f>_xlfn.COMPOUNDVALUE(232)</f>
        <v>115</v>
      </c>
      <c r="I71" s="14">
        <v>72440</v>
      </c>
      <c r="J71" s="12">
        <v>274</v>
      </c>
      <c r="K71" s="14">
        <v>50429</v>
      </c>
      <c r="L71" s="12">
        <v>4063</v>
      </c>
      <c r="M71" s="14">
        <v>1045324</v>
      </c>
      <c r="N71" s="15" t="s">
        <v>80</v>
      </c>
    </row>
    <row r="72" spans="1:14" s="26" customFormat="1" ht="15.75" customHeight="1">
      <c r="A72" s="11" t="s">
        <v>81</v>
      </c>
      <c r="B72" s="12">
        <f>_xlfn.COMPOUNDVALUE(233)</f>
        <v>2225</v>
      </c>
      <c r="C72" s="13">
        <v>1014450</v>
      </c>
      <c r="D72" s="12">
        <f>_xlfn.COMPOUNDVALUE(234)</f>
        <v>2745</v>
      </c>
      <c r="E72" s="13">
        <v>842316</v>
      </c>
      <c r="F72" s="12">
        <f>_xlfn.COMPOUNDVALUE(235)</f>
        <v>4970</v>
      </c>
      <c r="G72" s="13">
        <v>1856766</v>
      </c>
      <c r="H72" s="12">
        <f>_xlfn.COMPOUNDVALUE(236)</f>
        <v>228</v>
      </c>
      <c r="I72" s="14">
        <v>138519</v>
      </c>
      <c r="J72" s="12">
        <v>344</v>
      </c>
      <c r="K72" s="14">
        <v>66735</v>
      </c>
      <c r="L72" s="12">
        <v>5337</v>
      </c>
      <c r="M72" s="14">
        <v>1784982</v>
      </c>
      <c r="N72" s="15" t="s">
        <v>81</v>
      </c>
    </row>
    <row r="73" spans="1:14" s="26" customFormat="1" ht="15.75" customHeight="1">
      <c r="A73" s="11" t="s">
        <v>82</v>
      </c>
      <c r="B73" s="12">
        <f>_xlfn.COMPOUNDVALUE(237)</f>
        <v>889</v>
      </c>
      <c r="C73" s="13">
        <v>364774</v>
      </c>
      <c r="D73" s="12">
        <f>_xlfn.COMPOUNDVALUE(238)</f>
        <v>1869</v>
      </c>
      <c r="E73" s="13">
        <v>417541</v>
      </c>
      <c r="F73" s="12">
        <f>_xlfn.COMPOUNDVALUE(239)</f>
        <v>2758</v>
      </c>
      <c r="G73" s="13">
        <v>782315</v>
      </c>
      <c r="H73" s="12">
        <f>_xlfn.COMPOUNDVALUE(240)</f>
        <v>66</v>
      </c>
      <c r="I73" s="14">
        <v>30454</v>
      </c>
      <c r="J73" s="12">
        <v>166</v>
      </c>
      <c r="K73" s="14">
        <v>22576</v>
      </c>
      <c r="L73" s="12">
        <v>2859</v>
      </c>
      <c r="M73" s="14">
        <v>774436</v>
      </c>
      <c r="N73" s="15" t="s">
        <v>82</v>
      </c>
    </row>
    <row r="74" spans="1:14" s="26" customFormat="1" ht="15.75" customHeight="1">
      <c r="A74" s="11" t="s">
        <v>83</v>
      </c>
      <c r="B74" s="12">
        <f>_xlfn.COMPOUNDVALUE(241)</f>
        <v>1078</v>
      </c>
      <c r="C74" s="13">
        <v>1286700</v>
      </c>
      <c r="D74" s="12">
        <f>_xlfn.COMPOUNDVALUE(242)</f>
        <v>1274</v>
      </c>
      <c r="E74" s="13">
        <v>403520</v>
      </c>
      <c r="F74" s="12">
        <f>_xlfn.COMPOUNDVALUE(243)</f>
        <v>2352</v>
      </c>
      <c r="G74" s="13">
        <v>1690220</v>
      </c>
      <c r="H74" s="12">
        <f>_xlfn.COMPOUNDVALUE(244)</f>
        <v>141</v>
      </c>
      <c r="I74" s="14">
        <v>59350</v>
      </c>
      <c r="J74" s="12">
        <v>154</v>
      </c>
      <c r="K74" s="14">
        <v>21956</v>
      </c>
      <c r="L74" s="12">
        <v>2551</v>
      </c>
      <c r="M74" s="14">
        <v>1652825</v>
      </c>
      <c r="N74" s="15" t="s">
        <v>83</v>
      </c>
    </row>
    <row r="75" spans="1:14" s="26" customFormat="1" ht="15.75" customHeight="1">
      <c r="A75" s="11" t="s">
        <v>84</v>
      </c>
      <c r="B75" s="12">
        <f>_xlfn.COMPOUNDVALUE(245)</f>
        <v>1240</v>
      </c>
      <c r="C75" s="13">
        <v>393915</v>
      </c>
      <c r="D75" s="12">
        <f>_xlfn.COMPOUNDVALUE(242)</f>
        <v>1483</v>
      </c>
      <c r="E75" s="13">
        <v>390866</v>
      </c>
      <c r="F75" s="12">
        <f>_xlfn.COMPOUNDVALUE(246)</f>
        <v>2723</v>
      </c>
      <c r="G75" s="13">
        <v>784781</v>
      </c>
      <c r="H75" s="12">
        <f>_xlfn.COMPOUNDVALUE(247)</f>
        <v>112</v>
      </c>
      <c r="I75" s="14">
        <v>53382</v>
      </c>
      <c r="J75" s="12">
        <v>289</v>
      </c>
      <c r="K75" s="14">
        <v>41457</v>
      </c>
      <c r="L75" s="12">
        <v>2928</v>
      </c>
      <c r="M75" s="14">
        <v>772856</v>
      </c>
      <c r="N75" s="15" t="s">
        <v>84</v>
      </c>
    </row>
    <row r="76" spans="1:14" s="26" customFormat="1" ht="15.75" customHeight="1">
      <c r="A76" s="11" t="s">
        <v>85</v>
      </c>
      <c r="B76" s="12">
        <f>_xlfn.COMPOUNDVALUE(248)</f>
        <v>462</v>
      </c>
      <c r="C76" s="13">
        <v>205492</v>
      </c>
      <c r="D76" s="12">
        <f>_xlfn.COMPOUNDVALUE(249)</f>
        <v>528</v>
      </c>
      <c r="E76" s="13">
        <v>138245</v>
      </c>
      <c r="F76" s="12">
        <f>_xlfn.COMPOUNDVALUE(250)</f>
        <v>990</v>
      </c>
      <c r="G76" s="13">
        <v>343737</v>
      </c>
      <c r="H76" s="12">
        <f>_xlfn.COMPOUNDVALUE(251)</f>
        <v>29</v>
      </c>
      <c r="I76" s="14">
        <v>7716</v>
      </c>
      <c r="J76" s="12">
        <v>51</v>
      </c>
      <c r="K76" s="14">
        <v>5279</v>
      </c>
      <c r="L76" s="12">
        <v>1031</v>
      </c>
      <c r="M76" s="14">
        <v>341300</v>
      </c>
      <c r="N76" s="15" t="s">
        <v>85</v>
      </c>
    </row>
    <row r="77" spans="1:14" s="26" customFormat="1" ht="15.75" customHeight="1">
      <c r="A77" s="11" t="s">
        <v>86</v>
      </c>
      <c r="B77" s="12">
        <f>_xlfn.COMPOUNDVALUE(252)</f>
        <v>846</v>
      </c>
      <c r="C77" s="13">
        <v>400314</v>
      </c>
      <c r="D77" s="12">
        <f>_xlfn.COMPOUNDVALUE(253)</f>
        <v>914</v>
      </c>
      <c r="E77" s="13">
        <v>232059</v>
      </c>
      <c r="F77" s="12">
        <f>_xlfn.COMPOUNDVALUE(254)</f>
        <v>1760</v>
      </c>
      <c r="G77" s="13">
        <v>632374</v>
      </c>
      <c r="H77" s="12">
        <f>_xlfn.COMPOUNDVALUE(255)</f>
        <v>44</v>
      </c>
      <c r="I77" s="14">
        <v>13004</v>
      </c>
      <c r="J77" s="12">
        <v>90</v>
      </c>
      <c r="K77" s="14">
        <v>10559</v>
      </c>
      <c r="L77" s="12">
        <v>1838</v>
      </c>
      <c r="M77" s="14">
        <v>629928</v>
      </c>
      <c r="N77" s="15" t="s">
        <v>86</v>
      </c>
    </row>
    <row r="78" spans="1:14" s="26" customFormat="1" ht="15.75" customHeight="1">
      <c r="A78" s="16" t="s">
        <v>87</v>
      </c>
      <c r="B78" s="17">
        <f>_xlfn.COMPOUNDVALUE(256)</f>
        <v>1625</v>
      </c>
      <c r="C78" s="18">
        <v>589452</v>
      </c>
      <c r="D78" s="17">
        <f>_xlfn.COMPOUNDVALUE(257)</f>
        <v>1375</v>
      </c>
      <c r="E78" s="18">
        <v>374876</v>
      </c>
      <c r="F78" s="17">
        <f>_xlfn.COMPOUNDVALUE(258)</f>
        <v>3000</v>
      </c>
      <c r="G78" s="18">
        <v>964328</v>
      </c>
      <c r="H78" s="17">
        <f>_xlfn.COMPOUNDVALUE(259)</f>
        <v>89</v>
      </c>
      <c r="I78" s="19">
        <v>23163</v>
      </c>
      <c r="J78" s="17">
        <v>265</v>
      </c>
      <c r="K78" s="19">
        <v>39062</v>
      </c>
      <c r="L78" s="17">
        <v>3210</v>
      </c>
      <c r="M78" s="19">
        <v>980227</v>
      </c>
      <c r="N78" s="20" t="s">
        <v>87</v>
      </c>
    </row>
    <row r="79" spans="1:14" s="26" customFormat="1" ht="15.75" customHeight="1">
      <c r="A79" s="16" t="s">
        <v>88</v>
      </c>
      <c r="B79" s="17">
        <f>_xlfn.COMPOUNDVALUE(260)</f>
        <v>901</v>
      </c>
      <c r="C79" s="18">
        <v>384497</v>
      </c>
      <c r="D79" s="17">
        <f>_xlfn.COMPOUNDVALUE(249)</f>
        <v>1080</v>
      </c>
      <c r="E79" s="18">
        <v>308384</v>
      </c>
      <c r="F79" s="17">
        <f>_xlfn.COMPOUNDVALUE(261)</f>
        <v>1981</v>
      </c>
      <c r="G79" s="18">
        <v>692881</v>
      </c>
      <c r="H79" s="17">
        <f>_xlfn.COMPOUNDVALUE(262)</f>
        <v>49</v>
      </c>
      <c r="I79" s="19">
        <v>9735</v>
      </c>
      <c r="J79" s="17">
        <v>121</v>
      </c>
      <c r="K79" s="19">
        <v>19388</v>
      </c>
      <c r="L79" s="17">
        <v>2066</v>
      </c>
      <c r="M79" s="19">
        <v>702534</v>
      </c>
      <c r="N79" s="20" t="s">
        <v>88</v>
      </c>
    </row>
    <row r="80" spans="1:14" s="26" customFormat="1" ht="15.75" customHeight="1">
      <c r="A80" s="16" t="s">
        <v>89</v>
      </c>
      <c r="B80" s="17">
        <f>_xlfn.COMPOUNDVALUE(263)</f>
        <v>423</v>
      </c>
      <c r="C80" s="18">
        <v>143485</v>
      </c>
      <c r="D80" s="17">
        <f>_xlfn.COMPOUNDVALUE(264)</f>
        <v>423</v>
      </c>
      <c r="E80" s="18">
        <v>110473</v>
      </c>
      <c r="F80" s="17">
        <f>_xlfn.COMPOUNDVALUE(265)</f>
        <v>846</v>
      </c>
      <c r="G80" s="18">
        <v>253958</v>
      </c>
      <c r="H80" s="17">
        <f>_xlfn.COMPOUNDVALUE(266)</f>
        <v>24</v>
      </c>
      <c r="I80" s="19">
        <v>3158</v>
      </c>
      <c r="J80" s="17">
        <v>50</v>
      </c>
      <c r="K80" s="19">
        <v>2729</v>
      </c>
      <c r="L80" s="17">
        <v>888</v>
      </c>
      <c r="M80" s="19">
        <v>253529</v>
      </c>
      <c r="N80" s="20" t="s">
        <v>89</v>
      </c>
    </row>
    <row r="81" spans="1:14" s="26" customFormat="1" ht="15.75" customHeight="1">
      <c r="A81" s="16" t="s">
        <v>90</v>
      </c>
      <c r="B81" s="17">
        <f>_xlfn.COMPOUNDVALUE(267)</f>
        <v>408</v>
      </c>
      <c r="C81" s="18">
        <v>155323</v>
      </c>
      <c r="D81" s="17">
        <f>_xlfn.COMPOUNDVALUE(268)</f>
        <v>365</v>
      </c>
      <c r="E81" s="18">
        <v>89332</v>
      </c>
      <c r="F81" s="17">
        <f>_xlfn.COMPOUNDVALUE(269)</f>
        <v>773</v>
      </c>
      <c r="G81" s="18">
        <v>244655</v>
      </c>
      <c r="H81" s="17">
        <f>_xlfn.COMPOUNDVALUE(270)</f>
        <v>30</v>
      </c>
      <c r="I81" s="19">
        <v>14557</v>
      </c>
      <c r="J81" s="17">
        <v>52</v>
      </c>
      <c r="K81" s="19">
        <v>6806</v>
      </c>
      <c r="L81" s="17">
        <v>815</v>
      </c>
      <c r="M81" s="19">
        <v>236904</v>
      </c>
      <c r="N81" s="20" t="s">
        <v>90</v>
      </c>
    </row>
    <row r="82" spans="1:14" s="26" customFormat="1" ht="15.75" customHeight="1">
      <c r="A82" s="16" t="s">
        <v>91</v>
      </c>
      <c r="B82" s="17">
        <f>_xlfn.COMPOUNDVALUE(271)</f>
        <v>630</v>
      </c>
      <c r="C82" s="18">
        <v>246447</v>
      </c>
      <c r="D82" s="17">
        <f>_xlfn.COMPOUNDVALUE(272)</f>
        <v>724</v>
      </c>
      <c r="E82" s="18">
        <v>184620</v>
      </c>
      <c r="F82" s="17">
        <f>_xlfn.COMPOUNDVALUE(273)</f>
        <v>1354</v>
      </c>
      <c r="G82" s="18">
        <v>431067</v>
      </c>
      <c r="H82" s="17">
        <f>_xlfn.COMPOUNDVALUE(274)</f>
        <v>43</v>
      </c>
      <c r="I82" s="19">
        <v>11184</v>
      </c>
      <c r="J82" s="17">
        <v>105</v>
      </c>
      <c r="K82" s="19">
        <v>13029</v>
      </c>
      <c r="L82" s="17">
        <v>1425</v>
      </c>
      <c r="M82" s="19">
        <v>432911</v>
      </c>
      <c r="N82" s="20" t="s">
        <v>91</v>
      </c>
    </row>
    <row r="83" spans="1:14" s="26" customFormat="1" ht="15.75" customHeight="1">
      <c r="A83" s="16" t="s">
        <v>92</v>
      </c>
      <c r="B83" s="17">
        <f>_xlfn.COMPOUNDVALUE(275)</f>
        <v>279</v>
      </c>
      <c r="C83" s="18">
        <v>102261</v>
      </c>
      <c r="D83" s="17">
        <f>_xlfn.COMPOUNDVALUE(276)</f>
        <v>281</v>
      </c>
      <c r="E83" s="18">
        <v>66863</v>
      </c>
      <c r="F83" s="17">
        <f>_xlfn.COMPOUNDVALUE(277)</f>
        <v>560</v>
      </c>
      <c r="G83" s="18">
        <v>169124</v>
      </c>
      <c r="H83" s="17">
        <f>_xlfn.COMPOUNDVALUE(278)</f>
        <v>11</v>
      </c>
      <c r="I83" s="19">
        <v>874</v>
      </c>
      <c r="J83" s="17">
        <v>65</v>
      </c>
      <c r="K83" s="19">
        <v>7350</v>
      </c>
      <c r="L83" s="17">
        <v>591</v>
      </c>
      <c r="M83" s="19">
        <v>175600</v>
      </c>
      <c r="N83" s="20" t="s">
        <v>92</v>
      </c>
    </row>
    <row r="84" spans="1:14" s="26" customFormat="1" ht="15.75" customHeight="1">
      <c r="A84" s="16" t="s">
        <v>93</v>
      </c>
      <c r="B84" s="17">
        <f>_xlfn.COMPOUNDVALUE(279)</f>
        <v>503</v>
      </c>
      <c r="C84" s="18">
        <v>168813</v>
      </c>
      <c r="D84" s="17">
        <f>_xlfn.COMPOUNDVALUE(280)</f>
        <v>629</v>
      </c>
      <c r="E84" s="18">
        <v>146721</v>
      </c>
      <c r="F84" s="17">
        <f>_xlfn.COMPOUNDVALUE(281)</f>
        <v>1132</v>
      </c>
      <c r="G84" s="18">
        <v>315534</v>
      </c>
      <c r="H84" s="17">
        <f>_xlfn.COMPOUNDVALUE(282)</f>
        <v>34</v>
      </c>
      <c r="I84" s="19">
        <v>13186</v>
      </c>
      <c r="J84" s="17">
        <v>89</v>
      </c>
      <c r="K84" s="19">
        <v>14645</v>
      </c>
      <c r="L84" s="17">
        <v>1183</v>
      </c>
      <c r="M84" s="19">
        <v>316992</v>
      </c>
      <c r="N84" s="20" t="s">
        <v>93</v>
      </c>
    </row>
    <row r="85" spans="1:14" s="26" customFormat="1" ht="15.75" customHeight="1">
      <c r="A85" s="21" t="s">
        <v>94</v>
      </c>
      <c r="B85" s="22">
        <v>22875</v>
      </c>
      <c r="C85" s="23">
        <v>9698099</v>
      </c>
      <c r="D85" s="22">
        <v>25684</v>
      </c>
      <c r="E85" s="23">
        <v>6960963</v>
      </c>
      <c r="F85" s="22">
        <v>48559</v>
      </c>
      <c r="G85" s="23">
        <v>16659062</v>
      </c>
      <c r="H85" s="22">
        <v>2028</v>
      </c>
      <c r="I85" s="24">
        <v>1043129</v>
      </c>
      <c r="J85" s="22">
        <v>3771</v>
      </c>
      <c r="K85" s="24">
        <v>656518</v>
      </c>
      <c r="L85" s="22">
        <v>52029</v>
      </c>
      <c r="M85" s="24">
        <v>16272450</v>
      </c>
      <c r="N85" s="25" t="s">
        <v>134</v>
      </c>
    </row>
    <row r="86" spans="1:14" s="29" customFormat="1" ht="15.75" customHeight="1">
      <c r="A86" s="35"/>
      <c r="B86" s="36"/>
      <c r="C86" s="37"/>
      <c r="D86" s="36"/>
      <c r="E86" s="37"/>
      <c r="F86" s="38"/>
      <c r="G86" s="37"/>
      <c r="H86" s="38"/>
      <c r="I86" s="37"/>
      <c r="J86" s="38"/>
      <c r="K86" s="37"/>
      <c r="L86" s="38"/>
      <c r="M86" s="37"/>
      <c r="N86" s="39"/>
    </row>
    <row r="87" spans="1:14" ht="15.75" customHeight="1">
      <c r="A87" s="16" t="s">
        <v>95</v>
      </c>
      <c r="B87" s="17">
        <f>_xlfn.COMPOUNDVALUE(283)</f>
        <v>2946</v>
      </c>
      <c r="C87" s="18">
        <v>1116683</v>
      </c>
      <c r="D87" s="17">
        <f>_xlfn.COMPOUNDVALUE(284)</f>
        <v>2909</v>
      </c>
      <c r="E87" s="18">
        <v>808483</v>
      </c>
      <c r="F87" s="17">
        <f>_xlfn.COMPOUNDVALUE(285)</f>
        <v>5855</v>
      </c>
      <c r="G87" s="18">
        <v>1925166</v>
      </c>
      <c r="H87" s="17">
        <f>_xlfn.COMPOUNDVALUE(286)</f>
        <v>208</v>
      </c>
      <c r="I87" s="19">
        <v>111559</v>
      </c>
      <c r="J87" s="17">
        <v>386</v>
      </c>
      <c r="K87" s="19">
        <v>52739</v>
      </c>
      <c r="L87" s="17">
        <v>6210</v>
      </c>
      <c r="M87" s="19">
        <v>1866345</v>
      </c>
      <c r="N87" s="20" t="s">
        <v>95</v>
      </c>
    </row>
    <row r="88" spans="1:14" ht="15.75" customHeight="1">
      <c r="A88" s="16" t="s">
        <v>96</v>
      </c>
      <c r="B88" s="17">
        <f>_xlfn.COMPOUNDVALUE(287)</f>
        <v>2692</v>
      </c>
      <c r="C88" s="18">
        <v>979456</v>
      </c>
      <c r="D88" s="17">
        <f>_xlfn.COMPOUNDVALUE(288)</f>
        <v>2301</v>
      </c>
      <c r="E88" s="18">
        <v>570254</v>
      </c>
      <c r="F88" s="17">
        <f>_xlfn.COMPOUNDVALUE(289)</f>
        <v>4993</v>
      </c>
      <c r="G88" s="18">
        <v>1549710</v>
      </c>
      <c r="H88" s="17">
        <f>_xlfn.COMPOUNDVALUE(290)</f>
        <v>151</v>
      </c>
      <c r="I88" s="19">
        <v>40572</v>
      </c>
      <c r="J88" s="17">
        <v>390</v>
      </c>
      <c r="K88" s="19">
        <v>49371</v>
      </c>
      <c r="L88" s="17">
        <v>5224</v>
      </c>
      <c r="M88" s="19">
        <v>1558509</v>
      </c>
      <c r="N88" s="20" t="s">
        <v>96</v>
      </c>
    </row>
    <row r="89" spans="1:14" ht="15.75" customHeight="1">
      <c r="A89" s="16" t="s">
        <v>97</v>
      </c>
      <c r="B89" s="17">
        <f>_xlfn.COMPOUNDVALUE(291)</f>
        <v>1086</v>
      </c>
      <c r="C89" s="18">
        <v>359014</v>
      </c>
      <c r="D89" s="17">
        <f>_xlfn.COMPOUNDVALUE(292)</f>
        <v>698</v>
      </c>
      <c r="E89" s="18">
        <v>162069</v>
      </c>
      <c r="F89" s="17">
        <f>_xlfn.COMPOUNDVALUE(293)</f>
        <v>1784</v>
      </c>
      <c r="G89" s="18">
        <v>521083</v>
      </c>
      <c r="H89" s="17">
        <f>_xlfn.COMPOUNDVALUE(294)</f>
        <v>40</v>
      </c>
      <c r="I89" s="19">
        <v>12287</v>
      </c>
      <c r="J89" s="17">
        <v>141</v>
      </c>
      <c r="K89" s="19">
        <v>76775</v>
      </c>
      <c r="L89" s="17">
        <v>1854</v>
      </c>
      <c r="M89" s="19">
        <v>585570</v>
      </c>
      <c r="N89" s="20" t="s">
        <v>97</v>
      </c>
    </row>
    <row r="90" spans="1:14" ht="15.75" customHeight="1">
      <c r="A90" s="16" t="s">
        <v>98</v>
      </c>
      <c r="B90" s="17">
        <f>_xlfn.COMPOUNDVALUE(295)</f>
        <v>385</v>
      </c>
      <c r="C90" s="18">
        <v>207377</v>
      </c>
      <c r="D90" s="17">
        <f>_xlfn.COMPOUNDVALUE(296)</f>
        <v>494</v>
      </c>
      <c r="E90" s="18">
        <v>116013</v>
      </c>
      <c r="F90" s="17">
        <f>_xlfn.COMPOUNDVALUE(297)</f>
        <v>879</v>
      </c>
      <c r="G90" s="18">
        <v>323390</v>
      </c>
      <c r="H90" s="17">
        <f>_xlfn.COMPOUNDVALUE(298)</f>
        <v>18</v>
      </c>
      <c r="I90" s="19">
        <v>3059</v>
      </c>
      <c r="J90" s="17">
        <v>86</v>
      </c>
      <c r="K90" s="19">
        <v>9499</v>
      </c>
      <c r="L90" s="17">
        <v>909</v>
      </c>
      <c r="M90" s="19">
        <v>329829</v>
      </c>
      <c r="N90" s="20" t="s">
        <v>98</v>
      </c>
    </row>
    <row r="91" spans="1:14" s="26" customFormat="1" ht="15.75" customHeight="1">
      <c r="A91" s="21" t="s">
        <v>99</v>
      </c>
      <c r="B91" s="22">
        <v>7109</v>
      </c>
      <c r="C91" s="23">
        <v>2662529</v>
      </c>
      <c r="D91" s="22">
        <v>6402</v>
      </c>
      <c r="E91" s="23">
        <v>1656819</v>
      </c>
      <c r="F91" s="22">
        <v>13511</v>
      </c>
      <c r="G91" s="23">
        <v>4319348</v>
      </c>
      <c r="H91" s="22">
        <v>417</v>
      </c>
      <c r="I91" s="24">
        <v>167477</v>
      </c>
      <c r="J91" s="22">
        <v>1003</v>
      </c>
      <c r="K91" s="24">
        <v>188383</v>
      </c>
      <c r="L91" s="22">
        <v>14197</v>
      </c>
      <c r="M91" s="24">
        <v>4340254</v>
      </c>
      <c r="N91" s="25" t="s">
        <v>135</v>
      </c>
    </row>
    <row r="92" spans="1:14" s="26" customFormat="1" ht="15.75" customHeight="1">
      <c r="A92" s="35"/>
      <c r="B92" s="36"/>
      <c r="C92" s="37"/>
      <c r="D92" s="36"/>
      <c r="E92" s="37"/>
      <c r="F92" s="38"/>
      <c r="G92" s="37"/>
      <c r="H92" s="38"/>
      <c r="I92" s="37"/>
      <c r="J92" s="38"/>
      <c r="K92" s="37"/>
      <c r="L92" s="38"/>
      <c r="M92" s="37"/>
      <c r="N92" s="39"/>
    </row>
    <row r="93" spans="1:14" s="26" customFormat="1" ht="15.75" customHeight="1">
      <c r="A93" s="11" t="s">
        <v>100</v>
      </c>
      <c r="B93" s="12">
        <f>_xlfn.COMPOUNDVALUE(299)</f>
        <v>2039</v>
      </c>
      <c r="C93" s="13">
        <v>780646</v>
      </c>
      <c r="D93" s="12">
        <f>_xlfn.COMPOUNDVALUE(300)</f>
        <v>1994</v>
      </c>
      <c r="E93" s="13">
        <v>530300</v>
      </c>
      <c r="F93" s="12">
        <f>_xlfn.COMPOUNDVALUE(301)</f>
        <v>4033</v>
      </c>
      <c r="G93" s="13">
        <v>1310946</v>
      </c>
      <c r="H93" s="12">
        <f>_xlfn.COMPOUNDVALUE(302)</f>
        <v>88</v>
      </c>
      <c r="I93" s="14">
        <v>24139</v>
      </c>
      <c r="J93" s="12">
        <v>245</v>
      </c>
      <c r="K93" s="14">
        <v>17032</v>
      </c>
      <c r="L93" s="12">
        <v>4207</v>
      </c>
      <c r="M93" s="14">
        <v>1303839</v>
      </c>
      <c r="N93" s="40" t="s">
        <v>100</v>
      </c>
    </row>
    <row r="94" spans="1:14" s="26" customFormat="1" ht="15.75" customHeight="1">
      <c r="A94" s="16" t="s">
        <v>101</v>
      </c>
      <c r="B94" s="17">
        <f>_xlfn.COMPOUNDVALUE(303)</f>
        <v>464</v>
      </c>
      <c r="C94" s="18">
        <v>181654</v>
      </c>
      <c r="D94" s="17">
        <f>_xlfn.COMPOUNDVALUE(304)</f>
        <v>465</v>
      </c>
      <c r="E94" s="18">
        <v>105362</v>
      </c>
      <c r="F94" s="17">
        <f>_xlfn.COMPOUNDVALUE(305)</f>
        <v>929</v>
      </c>
      <c r="G94" s="18">
        <v>287016</v>
      </c>
      <c r="H94" s="17">
        <f>_xlfn.COMPOUNDVALUE(306)</f>
        <v>9</v>
      </c>
      <c r="I94" s="19">
        <v>2079</v>
      </c>
      <c r="J94" s="17">
        <v>56</v>
      </c>
      <c r="K94" s="19">
        <v>8928</v>
      </c>
      <c r="L94" s="17">
        <v>967</v>
      </c>
      <c r="M94" s="19">
        <v>293864</v>
      </c>
      <c r="N94" s="20" t="s">
        <v>101</v>
      </c>
    </row>
    <row r="95" spans="1:14" s="26" customFormat="1" ht="15.75" customHeight="1">
      <c r="A95" s="16" t="s">
        <v>102</v>
      </c>
      <c r="B95" s="17">
        <f>_xlfn.COMPOUNDVALUE(307)</f>
        <v>616</v>
      </c>
      <c r="C95" s="18">
        <v>229703</v>
      </c>
      <c r="D95" s="17">
        <f>_xlfn.COMPOUNDVALUE(308)</f>
        <v>1062</v>
      </c>
      <c r="E95" s="18">
        <v>244068</v>
      </c>
      <c r="F95" s="17">
        <f>_xlfn.COMPOUNDVALUE(309)</f>
        <v>1678</v>
      </c>
      <c r="G95" s="18">
        <v>473771</v>
      </c>
      <c r="H95" s="17">
        <f>_xlfn.COMPOUNDVALUE(310)</f>
        <v>25</v>
      </c>
      <c r="I95" s="19">
        <v>7182</v>
      </c>
      <c r="J95" s="17">
        <v>97</v>
      </c>
      <c r="K95" s="19">
        <v>8756</v>
      </c>
      <c r="L95" s="17">
        <v>1713</v>
      </c>
      <c r="M95" s="19">
        <v>475345</v>
      </c>
      <c r="N95" s="20" t="s">
        <v>102</v>
      </c>
    </row>
    <row r="96" spans="1:14" s="26" customFormat="1" ht="15.75" customHeight="1">
      <c r="A96" s="16" t="s">
        <v>103</v>
      </c>
      <c r="B96" s="17">
        <f>_xlfn.COMPOUNDVALUE(311)</f>
        <v>882</v>
      </c>
      <c r="C96" s="18">
        <v>351022</v>
      </c>
      <c r="D96" s="17">
        <f>_xlfn.COMPOUNDVALUE(312)</f>
        <v>1128</v>
      </c>
      <c r="E96" s="18">
        <v>280805</v>
      </c>
      <c r="F96" s="17">
        <f>_xlfn.COMPOUNDVALUE(313)</f>
        <v>2010</v>
      </c>
      <c r="G96" s="18">
        <v>631827</v>
      </c>
      <c r="H96" s="17">
        <f>_xlfn.COMPOUNDVALUE(314)</f>
        <v>26</v>
      </c>
      <c r="I96" s="19">
        <v>9030</v>
      </c>
      <c r="J96" s="17">
        <v>121</v>
      </c>
      <c r="K96" s="19">
        <v>10029</v>
      </c>
      <c r="L96" s="17">
        <v>2067</v>
      </c>
      <c r="M96" s="19">
        <v>632826</v>
      </c>
      <c r="N96" s="20" t="s">
        <v>103</v>
      </c>
    </row>
    <row r="97" spans="1:14" s="26" customFormat="1" ht="15.75" customHeight="1">
      <c r="A97" s="16" t="s">
        <v>104</v>
      </c>
      <c r="B97" s="17">
        <f>_xlfn.COMPOUNDVALUE(315)</f>
        <v>606</v>
      </c>
      <c r="C97" s="18">
        <v>226857</v>
      </c>
      <c r="D97" s="17">
        <f>_xlfn.COMPOUNDVALUE(316)</f>
        <v>622</v>
      </c>
      <c r="E97" s="18">
        <v>145849</v>
      </c>
      <c r="F97" s="17">
        <f>_xlfn.COMPOUNDVALUE(317)</f>
        <v>1228</v>
      </c>
      <c r="G97" s="18">
        <v>372706</v>
      </c>
      <c r="H97" s="17">
        <f>_xlfn.COMPOUNDVALUE(318)</f>
        <v>16</v>
      </c>
      <c r="I97" s="19">
        <v>4078</v>
      </c>
      <c r="J97" s="17">
        <v>81</v>
      </c>
      <c r="K97" s="19">
        <v>8841</v>
      </c>
      <c r="L97" s="17">
        <v>1253</v>
      </c>
      <c r="M97" s="19">
        <v>377469</v>
      </c>
      <c r="N97" s="20" t="s">
        <v>104</v>
      </c>
    </row>
    <row r="98" spans="1:14" s="26" customFormat="1" ht="15.75" customHeight="1">
      <c r="A98" s="16" t="s">
        <v>105</v>
      </c>
      <c r="B98" s="17">
        <f>_xlfn.COMPOUNDVALUE(319)</f>
        <v>1056</v>
      </c>
      <c r="C98" s="18">
        <v>362776</v>
      </c>
      <c r="D98" s="17">
        <f>_xlfn.COMPOUNDVALUE(320)</f>
        <v>1105</v>
      </c>
      <c r="E98" s="18">
        <v>241354</v>
      </c>
      <c r="F98" s="17">
        <f>_xlfn.COMPOUNDVALUE(321)</f>
        <v>2161</v>
      </c>
      <c r="G98" s="18">
        <v>604130</v>
      </c>
      <c r="H98" s="17">
        <f>_xlfn.COMPOUNDVALUE(322)</f>
        <v>35</v>
      </c>
      <c r="I98" s="19">
        <v>6746</v>
      </c>
      <c r="J98" s="17">
        <v>99</v>
      </c>
      <c r="K98" s="19">
        <v>9884</v>
      </c>
      <c r="L98" s="17">
        <v>2214</v>
      </c>
      <c r="M98" s="19">
        <v>607268</v>
      </c>
      <c r="N98" s="20" t="s">
        <v>105</v>
      </c>
    </row>
    <row r="99" spans="1:14" s="26" customFormat="1" ht="15.75" customHeight="1">
      <c r="A99" s="16" t="s">
        <v>106</v>
      </c>
      <c r="B99" s="17">
        <f>_xlfn.COMPOUNDVALUE(323)</f>
        <v>600</v>
      </c>
      <c r="C99" s="18">
        <v>241583</v>
      </c>
      <c r="D99" s="17">
        <f>_xlfn.COMPOUNDVALUE(324)</f>
        <v>1231</v>
      </c>
      <c r="E99" s="18">
        <v>252019</v>
      </c>
      <c r="F99" s="17">
        <f>_xlfn.COMPOUNDVALUE(325)</f>
        <v>1831</v>
      </c>
      <c r="G99" s="18">
        <v>493603</v>
      </c>
      <c r="H99" s="17">
        <f>_xlfn.COMPOUNDVALUE(326)</f>
        <v>22</v>
      </c>
      <c r="I99" s="19">
        <v>10898</v>
      </c>
      <c r="J99" s="17">
        <v>136</v>
      </c>
      <c r="K99" s="19">
        <v>15961</v>
      </c>
      <c r="L99" s="17">
        <v>1895</v>
      </c>
      <c r="M99" s="19">
        <v>498666</v>
      </c>
      <c r="N99" s="20" t="s">
        <v>106</v>
      </c>
    </row>
    <row r="100" spans="1:14" s="26" customFormat="1" ht="15.75" customHeight="1">
      <c r="A100" s="21" t="s">
        <v>107</v>
      </c>
      <c r="B100" s="22">
        <v>6263</v>
      </c>
      <c r="C100" s="23">
        <v>2374240</v>
      </c>
      <c r="D100" s="22">
        <v>7607</v>
      </c>
      <c r="E100" s="23">
        <v>1799758</v>
      </c>
      <c r="F100" s="22">
        <v>13870</v>
      </c>
      <c r="G100" s="23">
        <v>4173998</v>
      </c>
      <c r="H100" s="22">
        <v>221</v>
      </c>
      <c r="I100" s="24">
        <v>64151</v>
      </c>
      <c r="J100" s="22">
        <v>835</v>
      </c>
      <c r="K100" s="24">
        <v>79430</v>
      </c>
      <c r="L100" s="22">
        <v>14316</v>
      </c>
      <c r="M100" s="24">
        <v>4189277</v>
      </c>
      <c r="N100" s="25" t="s">
        <v>136</v>
      </c>
    </row>
    <row r="101" spans="1:14" s="26" customFormat="1" ht="15.75" customHeight="1" thickBot="1">
      <c r="A101" s="27"/>
      <c r="B101" s="75"/>
      <c r="C101" s="74"/>
      <c r="D101" s="75"/>
      <c r="E101" s="74"/>
      <c r="F101" s="73"/>
      <c r="G101" s="74"/>
      <c r="H101" s="73"/>
      <c r="I101" s="74"/>
      <c r="J101" s="73"/>
      <c r="K101" s="74"/>
      <c r="L101" s="73"/>
      <c r="M101" s="74"/>
      <c r="N101" s="28"/>
    </row>
    <row r="102" spans="1:14" s="26" customFormat="1" ht="15.75" customHeight="1" thickBot="1" thickTop="1">
      <c r="A102" s="30" t="s">
        <v>18</v>
      </c>
      <c r="B102" s="31">
        <v>99022</v>
      </c>
      <c r="C102" s="32">
        <v>38780144</v>
      </c>
      <c r="D102" s="31">
        <v>103537</v>
      </c>
      <c r="E102" s="32">
        <v>27772864</v>
      </c>
      <c r="F102" s="31">
        <v>202559</v>
      </c>
      <c r="G102" s="32">
        <v>66553009</v>
      </c>
      <c r="H102" s="31">
        <v>6684</v>
      </c>
      <c r="I102" s="33">
        <v>3023372</v>
      </c>
      <c r="J102" s="31">
        <v>14785</v>
      </c>
      <c r="K102" s="33">
        <v>2711303</v>
      </c>
      <c r="L102" s="31">
        <v>214887</v>
      </c>
      <c r="M102" s="33">
        <v>66240940</v>
      </c>
      <c r="N102" s="34" t="s">
        <v>129</v>
      </c>
    </row>
    <row r="103" spans="1:14" ht="13.5">
      <c r="A103" s="195" t="s">
        <v>137</v>
      </c>
      <c r="B103" s="195"/>
      <c r="C103" s="195"/>
      <c r="D103" s="195"/>
      <c r="E103" s="195"/>
      <c r="F103" s="195"/>
      <c r="G103" s="195"/>
      <c r="H103" s="195"/>
      <c r="I103" s="195"/>
      <c r="J103" s="42"/>
      <c r="K103" s="42"/>
      <c r="L103" s="2"/>
      <c r="M103" s="2"/>
      <c r="N103" s="2"/>
    </row>
    <row r="104" spans="2:13" ht="13.5">
      <c r="B104" s="78"/>
      <c r="C104" s="78"/>
      <c r="D104" s="78"/>
      <c r="E104" s="78"/>
      <c r="F104" s="78"/>
      <c r="G104" s="78"/>
      <c r="H104" s="78"/>
      <c r="I104" s="78"/>
      <c r="J104" s="78"/>
      <c r="K104" s="78"/>
      <c r="L104" s="78"/>
      <c r="M104" s="78"/>
    </row>
    <row r="105" spans="2:10" ht="13.5">
      <c r="B105" s="43"/>
      <c r="C105" s="43"/>
      <c r="D105" s="43"/>
      <c r="E105" s="43"/>
      <c r="F105" s="43"/>
      <c r="G105" s="43"/>
      <c r="H105" s="43"/>
      <c r="J105" s="43"/>
    </row>
    <row r="106" spans="2:10" ht="13.5">
      <c r="B106" s="43"/>
      <c r="C106" s="43"/>
      <c r="D106" s="43"/>
      <c r="E106" s="43"/>
      <c r="F106" s="43"/>
      <c r="G106" s="43"/>
      <c r="H106" s="43"/>
      <c r="J106" s="43"/>
    </row>
    <row r="107" spans="2:10" ht="13.5">
      <c r="B107" s="43"/>
      <c r="C107" s="43"/>
      <c r="D107" s="43"/>
      <c r="E107" s="43"/>
      <c r="F107" s="43"/>
      <c r="G107" s="43"/>
      <c r="H107" s="43"/>
      <c r="J107" s="43"/>
    </row>
    <row r="108" spans="2:10" ht="13.5">
      <c r="B108" s="43"/>
      <c r="C108" s="43"/>
      <c r="D108" s="43"/>
      <c r="E108" s="43"/>
      <c r="F108" s="43"/>
      <c r="G108" s="43"/>
      <c r="H108" s="43"/>
      <c r="J108" s="43"/>
    </row>
    <row r="109" spans="2:10" ht="13.5">
      <c r="B109" s="43"/>
      <c r="C109" s="43"/>
      <c r="D109" s="43"/>
      <c r="E109" s="43"/>
      <c r="F109" s="43"/>
      <c r="G109" s="43"/>
      <c r="H109" s="43"/>
      <c r="J109" s="43"/>
    </row>
    <row r="110" spans="2:10" ht="13.5">
      <c r="B110" s="43"/>
      <c r="C110" s="43"/>
      <c r="D110" s="43"/>
      <c r="E110" s="43"/>
      <c r="F110" s="43"/>
      <c r="G110" s="43"/>
      <c r="H110" s="43"/>
      <c r="J110" s="43"/>
    </row>
    <row r="111" spans="2:10" ht="13.5">
      <c r="B111" s="43"/>
      <c r="C111" s="43"/>
      <c r="D111" s="43"/>
      <c r="E111" s="43"/>
      <c r="F111" s="43"/>
      <c r="G111" s="43"/>
      <c r="H111" s="43"/>
      <c r="J111" s="43"/>
    </row>
    <row r="112" spans="2:10" ht="13.5">
      <c r="B112" s="43"/>
      <c r="C112" s="43"/>
      <c r="D112" s="43"/>
      <c r="E112" s="43"/>
      <c r="F112" s="43"/>
      <c r="G112" s="43"/>
      <c r="H112" s="43"/>
      <c r="J112" s="43"/>
    </row>
    <row r="113" spans="2:10" ht="13.5">
      <c r="B113" s="43"/>
      <c r="C113" s="43"/>
      <c r="D113" s="43"/>
      <c r="E113" s="43"/>
      <c r="F113" s="43"/>
      <c r="G113" s="43"/>
      <c r="H113" s="43"/>
      <c r="J113" s="43"/>
    </row>
    <row r="114" spans="2:10" ht="13.5">
      <c r="B114" s="43"/>
      <c r="C114" s="43"/>
      <c r="D114" s="43"/>
      <c r="E114" s="43"/>
      <c r="F114" s="43"/>
      <c r="G114" s="43"/>
      <c r="H114" s="43"/>
      <c r="J114" s="43"/>
    </row>
    <row r="115" spans="2:10" ht="13.5">
      <c r="B115" s="43"/>
      <c r="C115" s="43"/>
      <c r="D115" s="43"/>
      <c r="E115" s="43"/>
      <c r="F115" s="43"/>
      <c r="G115" s="43"/>
      <c r="H115" s="43"/>
      <c r="J115" s="43"/>
    </row>
    <row r="116" spans="2:10" ht="13.5">
      <c r="B116" s="43"/>
      <c r="C116" s="43"/>
      <c r="D116" s="43"/>
      <c r="E116" s="43"/>
      <c r="F116" s="43"/>
      <c r="G116" s="43"/>
      <c r="H116" s="43"/>
      <c r="J116" s="43"/>
    </row>
    <row r="117" spans="2:10" ht="13.5">
      <c r="B117" s="43"/>
      <c r="C117" s="43"/>
      <c r="D117" s="43"/>
      <c r="E117" s="43"/>
      <c r="F117" s="43"/>
      <c r="G117" s="43"/>
      <c r="H117" s="43"/>
      <c r="J117" s="43"/>
    </row>
  </sheetData>
  <sheetProtection/>
  <mergeCells count="11">
    <mergeCell ref="L3:M4"/>
    <mergeCell ref="A103:I103"/>
    <mergeCell ref="A2:G2"/>
    <mergeCell ref="A3:A5"/>
    <mergeCell ref="B3:G3"/>
    <mergeCell ref="H3:I4"/>
    <mergeCell ref="N3:N5"/>
    <mergeCell ref="B4:C4"/>
    <mergeCell ref="D4:E4"/>
    <mergeCell ref="F4:G4"/>
    <mergeCell ref="J3:K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79" r:id="rId1"/>
  <headerFooter alignWithMargins="0">
    <oddFooter>&amp;R大阪国税局
消費税
(H24)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3"/>
  <sheetViews>
    <sheetView zoomScalePageLayoutView="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108</v>
      </c>
      <c r="B1" s="1"/>
      <c r="C1" s="1"/>
      <c r="D1" s="1"/>
      <c r="E1" s="1"/>
      <c r="F1" s="1"/>
      <c r="G1" s="1"/>
      <c r="H1" s="1"/>
      <c r="I1" s="1"/>
      <c r="J1" s="1"/>
      <c r="K1" s="1"/>
      <c r="L1" s="2"/>
      <c r="M1" s="2"/>
    </row>
    <row r="2" spans="1:13" ht="14.25" thickBot="1">
      <c r="A2" s="211" t="s">
        <v>109</v>
      </c>
      <c r="B2" s="211"/>
      <c r="C2" s="211"/>
      <c r="D2" s="211"/>
      <c r="E2" s="211"/>
      <c r="F2" s="211"/>
      <c r="G2" s="211"/>
      <c r="H2" s="211"/>
      <c r="I2" s="211"/>
      <c r="J2" s="42"/>
      <c r="K2" s="42"/>
      <c r="L2" s="2"/>
      <c r="M2" s="2"/>
    </row>
    <row r="3" spans="1:14" ht="19.5" customHeight="1">
      <c r="A3" s="197" t="s">
        <v>2</v>
      </c>
      <c r="B3" s="200" t="s">
        <v>3</v>
      </c>
      <c r="C3" s="200"/>
      <c r="D3" s="200"/>
      <c r="E3" s="200"/>
      <c r="F3" s="200"/>
      <c r="G3" s="200"/>
      <c r="H3" s="201" t="s">
        <v>4</v>
      </c>
      <c r="I3" s="202"/>
      <c r="J3" s="210" t="s">
        <v>5</v>
      </c>
      <c r="K3" s="202"/>
      <c r="L3" s="201" t="s">
        <v>6</v>
      </c>
      <c r="M3" s="202"/>
      <c r="N3" s="205" t="s">
        <v>110</v>
      </c>
    </row>
    <row r="4" spans="1:14" ht="17.25" customHeight="1">
      <c r="A4" s="198"/>
      <c r="B4" s="203" t="s">
        <v>8</v>
      </c>
      <c r="C4" s="209"/>
      <c r="D4" s="203" t="s">
        <v>9</v>
      </c>
      <c r="E4" s="209"/>
      <c r="F4" s="203" t="s">
        <v>10</v>
      </c>
      <c r="G4" s="209"/>
      <c r="H4" s="203"/>
      <c r="I4" s="204"/>
      <c r="J4" s="203"/>
      <c r="K4" s="204"/>
      <c r="L4" s="203"/>
      <c r="M4" s="204"/>
      <c r="N4" s="206"/>
    </row>
    <row r="5" spans="1:14" ht="28.5" customHeight="1">
      <c r="A5" s="199"/>
      <c r="B5" s="70" t="s">
        <v>11</v>
      </c>
      <c r="C5" s="71" t="s">
        <v>12</v>
      </c>
      <c r="D5" s="70" t="s">
        <v>11</v>
      </c>
      <c r="E5" s="71" t="s">
        <v>12</v>
      </c>
      <c r="F5" s="70" t="s">
        <v>11</v>
      </c>
      <c r="G5" s="77" t="s">
        <v>13</v>
      </c>
      <c r="H5" s="70" t="s">
        <v>125</v>
      </c>
      <c r="I5" s="76" t="s">
        <v>14</v>
      </c>
      <c r="J5" s="70" t="s">
        <v>125</v>
      </c>
      <c r="K5" s="76" t="s">
        <v>15</v>
      </c>
      <c r="L5" s="70" t="s">
        <v>125</v>
      </c>
      <c r="M5" s="72" t="s">
        <v>127</v>
      </c>
      <c r="N5" s="207"/>
    </row>
    <row r="6" spans="1:14" s="44"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19</v>
      </c>
      <c r="B7" s="12">
        <f>_xlfn.COMPOUNDVALUE(327)</f>
        <v>2260</v>
      </c>
      <c r="C7" s="13">
        <v>10304912</v>
      </c>
      <c r="D7" s="12">
        <f>_xlfn.COMPOUNDVALUE(328)</f>
        <v>907</v>
      </c>
      <c r="E7" s="13">
        <v>315517</v>
      </c>
      <c r="F7" s="12">
        <f>_xlfn.COMPOUNDVALUE(329)</f>
        <v>3167</v>
      </c>
      <c r="G7" s="13">
        <v>10620428</v>
      </c>
      <c r="H7" s="12">
        <f>_xlfn.COMPOUNDVALUE(330)</f>
        <v>114</v>
      </c>
      <c r="I7" s="14">
        <v>4978430</v>
      </c>
      <c r="J7" s="12">
        <v>194</v>
      </c>
      <c r="K7" s="14">
        <v>44503</v>
      </c>
      <c r="L7" s="12">
        <v>3300</v>
      </c>
      <c r="M7" s="14">
        <v>5686501</v>
      </c>
      <c r="N7" s="15" t="s">
        <v>19</v>
      </c>
    </row>
    <row r="8" spans="1:14" ht="15.75" customHeight="1">
      <c r="A8" s="16" t="s">
        <v>20</v>
      </c>
      <c r="B8" s="17">
        <f>_xlfn.COMPOUNDVALUE(331)</f>
        <v>1205</v>
      </c>
      <c r="C8" s="18">
        <v>7636043</v>
      </c>
      <c r="D8" s="17">
        <f>_xlfn.COMPOUNDVALUE(332)</f>
        <v>463</v>
      </c>
      <c r="E8" s="18">
        <v>179487</v>
      </c>
      <c r="F8" s="17">
        <f>_xlfn.COMPOUNDVALUE(333)</f>
        <v>1668</v>
      </c>
      <c r="G8" s="18">
        <v>7815530</v>
      </c>
      <c r="H8" s="17">
        <f>_xlfn.COMPOUNDVALUE(334)</f>
        <v>76</v>
      </c>
      <c r="I8" s="19">
        <v>999493</v>
      </c>
      <c r="J8" s="17">
        <v>94</v>
      </c>
      <c r="K8" s="19">
        <v>-58039</v>
      </c>
      <c r="L8" s="17">
        <v>1759</v>
      </c>
      <c r="M8" s="19">
        <v>6757998</v>
      </c>
      <c r="N8" s="20" t="s">
        <v>20</v>
      </c>
    </row>
    <row r="9" spans="1:14" ht="15.75" customHeight="1">
      <c r="A9" s="16" t="s">
        <v>21</v>
      </c>
      <c r="B9" s="17">
        <f>_xlfn.COMPOUNDVALUE(335)</f>
        <v>1394</v>
      </c>
      <c r="C9" s="18">
        <v>5306837</v>
      </c>
      <c r="D9" s="17">
        <f>_xlfn.COMPOUNDVALUE(336)</f>
        <v>494</v>
      </c>
      <c r="E9" s="18">
        <v>169538</v>
      </c>
      <c r="F9" s="17">
        <f>_xlfn.COMPOUNDVALUE(337)</f>
        <v>1888</v>
      </c>
      <c r="G9" s="18">
        <v>5476375</v>
      </c>
      <c r="H9" s="17">
        <f>_xlfn.COMPOUNDVALUE(338)</f>
        <v>71</v>
      </c>
      <c r="I9" s="19">
        <v>90926</v>
      </c>
      <c r="J9" s="17">
        <v>90</v>
      </c>
      <c r="K9" s="19">
        <v>2298</v>
      </c>
      <c r="L9" s="17">
        <v>1969</v>
      </c>
      <c r="M9" s="19">
        <v>5387747</v>
      </c>
      <c r="N9" s="20" t="s">
        <v>21</v>
      </c>
    </row>
    <row r="10" spans="1:14" ht="15.75" customHeight="1">
      <c r="A10" s="16" t="s">
        <v>22</v>
      </c>
      <c r="B10" s="17">
        <f>_xlfn.COMPOUNDVALUE(339)</f>
        <v>1643</v>
      </c>
      <c r="C10" s="18">
        <v>5570478</v>
      </c>
      <c r="D10" s="17">
        <f>_xlfn.COMPOUNDVALUE(340)</f>
        <v>573</v>
      </c>
      <c r="E10" s="18">
        <v>211181</v>
      </c>
      <c r="F10" s="17">
        <f>_xlfn.COMPOUNDVALUE(341)</f>
        <v>2216</v>
      </c>
      <c r="G10" s="18">
        <v>5781659</v>
      </c>
      <c r="H10" s="17">
        <f>_xlfn.COMPOUNDVALUE(342)</f>
        <v>111</v>
      </c>
      <c r="I10" s="19">
        <v>276265</v>
      </c>
      <c r="J10" s="17">
        <v>85</v>
      </c>
      <c r="K10" s="19">
        <v>29491</v>
      </c>
      <c r="L10" s="17">
        <v>2349</v>
      </c>
      <c r="M10" s="19">
        <v>5534884</v>
      </c>
      <c r="N10" s="20" t="s">
        <v>22</v>
      </c>
    </row>
    <row r="11" spans="1:14" ht="15.75" customHeight="1">
      <c r="A11" s="16" t="s">
        <v>23</v>
      </c>
      <c r="B11" s="17">
        <f>_xlfn.COMPOUNDVALUE(343)</f>
        <v>2265</v>
      </c>
      <c r="C11" s="18">
        <v>9479589</v>
      </c>
      <c r="D11" s="17">
        <f>_xlfn.COMPOUNDVALUE(344)</f>
        <v>876</v>
      </c>
      <c r="E11" s="18">
        <v>365130</v>
      </c>
      <c r="F11" s="17">
        <f>_xlfn.COMPOUNDVALUE(345)</f>
        <v>3141</v>
      </c>
      <c r="G11" s="18">
        <v>9844719</v>
      </c>
      <c r="H11" s="17">
        <f>_xlfn.COMPOUNDVALUE(346)</f>
        <v>161</v>
      </c>
      <c r="I11" s="19">
        <v>868878</v>
      </c>
      <c r="J11" s="17">
        <v>166</v>
      </c>
      <c r="K11" s="19">
        <v>18665</v>
      </c>
      <c r="L11" s="17">
        <v>3332</v>
      </c>
      <c r="M11" s="19">
        <v>8994507</v>
      </c>
      <c r="N11" s="20" t="s">
        <v>23</v>
      </c>
    </row>
    <row r="12" spans="1:14" ht="15.75" customHeight="1">
      <c r="A12" s="16" t="s">
        <v>24</v>
      </c>
      <c r="B12" s="17">
        <f>_xlfn.COMPOUNDVALUE(347)</f>
        <v>1149</v>
      </c>
      <c r="C12" s="18">
        <v>5959058</v>
      </c>
      <c r="D12" s="17">
        <f>_xlfn.COMPOUNDVALUE(348)</f>
        <v>374</v>
      </c>
      <c r="E12" s="18">
        <v>138172</v>
      </c>
      <c r="F12" s="17">
        <f>_xlfn.COMPOUNDVALUE(349)</f>
        <v>1523</v>
      </c>
      <c r="G12" s="18">
        <v>6097230</v>
      </c>
      <c r="H12" s="17">
        <f>_xlfn.COMPOUNDVALUE(350)</f>
        <v>58</v>
      </c>
      <c r="I12" s="19">
        <v>185724</v>
      </c>
      <c r="J12" s="17">
        <v>67</v>
      </c>
      <c r="K12" s="19">
        <v>-380</v>
      </c>
      <c r="L12" s="17">
        <v>1593</v>
      </c>
      <c r="M12" s="19">
        <v>5911126</v>
      </c>
      <c r="N12" s="20" t="s">
        <v>24</v>
      </c>
    </row>
    <row r="13" spans="1:14" ht="15.75" customHeight="1">
      <c r="A13" s="16" t="s">
        <v>25</v>
      </c>
      <c r="B13" s="17">
        <f>_xlfn.COMPOUNDVALUE(351)</f>
        <v>520</v>
      </c>
      <c r="C13" s="18">
        <v>1589759</v>
      </c>
      <c r="D13" s="17">
        <f>_xlfn.COMPOUNDVALUE(352)</f>
        <v>173</v>
      </c>
      <c r="E13" s="18">
        <v>52771</v>
      </c>
      <c r="F13" s="17">
        <f>_xlfn.COMPOUNDVALUE(353)</f>
        <v>693</v>
      </c>
      <c r="G13" s="18">
        <v>1642530</v>
      </c>
      <c r="H13" s="17">
        <f>_xlfn.COMPOUNDVALUE(354)</f>
        <v>25</v>
      </c>
      <c r="I13" s="19">
        <v>139178</v>
      </c>
      <c r="J13" s="17">
        <v>40</v>
      </c>
      <c r="K13" s="19">
        <v>6020</v>
      </c>
      <c r="L13" s="17">
        <v>724</v>
      </c>
      <c r="M13" s="19">
        <v>1509372</v>
      </c>
      <c r="N13" s="20" t="s">
        <v>25</v>
      </c>
    </row>
    <row r="14" spans="1:14" ht="15.75" customHeight="1">
      <c r="A14" s="21" t="s">
        <v>112</v>
      </c>
      <c r="B14" s="22">
        <v>10436</v>
      </c>
      <c r="C14" s="23">
        <v>45846676</v>
      </c>
      <c r="D14" s="22">
        <v>3860</v>
      </c>
      <c r="E14" s="23">
        <v>1431796</v>
      </c>
      <c r="F14" s="22">
        <v>14296</v>
      </c>
      <c r="G14" s="23">
        <v>47278471</v>
      </c>
      <c r="H14" s="22">
        <v>616</v>
      </c>
      <c r="I14" s="24">
        <v>7538894</v>
      </c>
      <c r="J14" s="22">
        <v>736</v>
      </c>
      <c r="K14" s="24">
        <v>42557</v>
      </c>
      <c r="L14" s="22">
        <v>15026</v>
      </c>
      <c r="M14" s="24">
        <v>39782135</v>
      </c>
      <c r="N14" s="25" t="s">
        <v>131</v>
      </c>
    </row>
    <row r="15" spans="1:14" ht="15.75" customHeight="1">
      <c r="A15" s="41"/>
      <c r="B15" s="36"/>
      <c r="C15" s="37"/>
      <c r="D15" s="36"/>
      <c r="E15" s="37"/>
      <c r="F15" s="38"/>
      <c r="G15" s="37"/>
      <c r="H15" s="38"/>
      <c r="I15" s="37"/>
      <c r="J15" s="38"/>
      <c r="K15" s="37"/>
      <c r="L15" s="38"/>
      <c r="M15" s="37"/>
      <c r="N15" s="39"/>
    </row>
    <row r="16" spans="1:14" ht="15.75" customHeight="1">
      <c r="A16" s="11" t="s">
        <v>27</v>
      </c>
      <c r="B16" s="12">
        <f>_xlfn.COMPOUNDVALUE(355)</f>
        <v>2327</v>
      </c>
      <c r="C16" s="13">
        <v>9650433</v>
      </c>
      <c r="D16" s="12">
        <f>_xlfn.COMPOUNDVALUE(356)</f>
        <v>1043</v>
      </c>
      <c r="E16" s="13">
        <v>344317</v>
      </c>
      <c r="F16" s="12">
        <f>_xlfn.COMPOUNDVALUE(357)</f>
        <v>3370</v>
      </c>
      <c r="G16" s="13">
        <v>9994750</v>
      </c>
      <c r="H16" s="12">
        <f>_xlfn.COMPOUNDVALUE(358)</f>
        <v>170</v>
      </c>
      <c r="I16" s="14">
        <v>3871293</v>
      </c>
      <c r="J16" s="12">
        <v>189</v>
      </c>
      <c r="K16" s="14">
        <v>45078</v>
      </c>
      <c r="L16" s="12">
        <v>3569</v>
      </c>
      <c r="M16" s="14">
        <v>6168534</v>
      </c>
      <c r="N16" s="40" t="s">
        <v>27</v>
      </c>
    </row>
    <row r="17" spans="1:14" ht="15.75" customHeight="1">
      <c r="A17" s="11" t="s">
        <v>28</v>
      </c>
      <c r="B17" s="12">
        <f>_xlfn.COMPOUNDVALUE(359)</f>
        <v>1598</v>
      </c>
      <c r="C17" s="13">
        <v>5350188</v>
      </c>
      <c r="D17" s="12">
        <f>_xlfn.COMPOUNDVALUE(360)</f>
        <v>686</v>
      </c>
      <c r="E17" s="13">
        <v>232101</v>
      </c>
      <c r="F17" s="12">
        <f>_xlfn.COMPOUNDVALUE(361)</f>
        <v>2284</v>
      </c>
      <c r="G17" s="13">
        <v>5582289</v>
      </c>
      <c r="H17" s="12">
        <f>_xlfn.COMPOUNDVALUE(362)</f>
        <v>136</v>
      </c>
      <c r="I17" s="14">
        <v>196325</v>
      </c>
      <c r="J17" s="12">
        <v>104</v>
      </c>
      <c r="K17" s="14">
        <v>10170</v>
      </c>
      <c r="L17" s="12">
        <v>2432</v>
      </c>
      <c r="M17" s="14">
        <v>5396133</v>
      </c>
      <c r="N17" s="15" t="s">
        <v>28</v>
      </c>
    </row>
    <row r="18" spans="1:14" ht="15.75" customHeight="1">
      <c r="A18" s="11" t="s">
        <v>29</v>
      </c>
      <c r="B18" s="12">
        <f>_xlfn.COMPOUNDVALUE(363)</f>
        <v>2840</v>
      </c>
      <c r="C18" s="13">
        <v>15623330</v>
      </c>
      <c r="D18" s="12">
        <f>_xlfn.COMPOUNDVALUE(364)</f>
        <v>1059</v>
      </c>
      <c r="E18" s="13">
        <v>376648</v>
      </c>
      <c r="F18" s="12">
        <f>_xlfn.COMPOUNDVALUE(365)</f>
        <v>3899</v>
      </c>
      <c r="G18" s="13">
        <v>15999978</v>
      </c>
      <c r="H18" s="12">
        <f>_xlfn.COMPOUNDVALUE(366)</f>
        <v>215</v>
      </c>
      <c r="I18" s="14">
        <v>2713493</v>
      </c>
      <c r="J18" s="12">
        <v>198</v>
      </c>
      <c r="K18" s="14">
        <v>26736</v>
      </c>
      <c r="L18" s="12">
        <v>4133</v>
      </c>
      <c r="M18" s="14">
        <v>13313220</v>
      </c>
      <c r="N18" s="15" t="s">
        <v>29</v>
      </c>
    </row>
    <row r="19" spans="1:14" ht="15.75" customHeight="1">
      <c r="A19" s="11" t="s">
        <v>30</v>
      </c>
      <c r="B19" s="12">
        <f>_xlfn.COMPOUNDVALUE(367)</f>
        <v>2003</v>
      </c>
      <c r="C19" s="13">
        <v>7446982</v>
      </c>
      <c r="D19" s="12">
        <f>_xlfn.COMPOUNDVALUE(368)</f>
        <v>774</v>
      </c>
      <c r="E19" s="13">
        <v>265322</v>
      </c>
      <c r="F19" s="12">
        <f>_xlfn.COMPOUNDVALUE(369)</f>
        <v>2777</v>
      </c>
      <c r="G19" s="13">
        <v>7712304</v>
      </c>
      <c r="H19" s="12">
        <f>_xlfn.COMPOUNDVALUE(370)</f>
        <v>121</v>
      </c>
      <c r="I19" s="14">
        <v>108742</v>
      </c>
      <c r="J19" s="12">
        <v>191</v>
      </c>
      <c r="K19" s="14">
        <v>17839</v>
      </c>
      <c r="L19" s="12">
        <v>2928</v>
      </c>
      <c r="M19" s="14">
        <v>7621401</v>
      </c>
      <c r="N19" s="15" t="s">
        <v>30</v>
      </c>
    </row>
    <row r="20" spans="1:14" ht="15.75" customHeight="1">
      <c r="A20" s="11" t="s">
        <v>31</v>
      </c>
      <c r="B20" s="12">
        <f>_xlfn.COMPOUNDVALUE(371)</f>
        <v>4542</v>
      </c>
      <c r="C20" s="13">
        <v>47904629</v>
      </c>
      <c r="D20" s="12">
        <f>_xlfn.COMPOUNDVALUE(372)</f>
        <v>1307</v>
      </c>
      <c r="E20" s="13">
        <v>454325</v>
      </c>
      <c r="F20" s="12">
        <f>_xlfn.COMPOUNDVALUE(373)</f>
        <v>5849</v>
      </c>
      <c r="G20" s="13">
        <v>48358955</v>
      </c>
      <c r="H20" s="12">
        <f>_xlfn.COMPOUNDVALUE(374)</f>
        <v>367</v>
      </c>
      <c r="I20" s="14">
        <v>8520552</v>
      </c>
      <c r="J20" s="12">
        <v>390</v>
      </c>
      <c r="K20" s="14">
        <v>57240</v>
      </c>
      <c r="L20" s="12">
        <v>6240</v>
      </c>
      <c r="M20" s="14">
        <v>39895642</v>
      </c>
      <c r="N20" s="15" t="s">
        <v>31</v>
      </c>
    </row>
    <row r="21" spans="1:14" ht="15.75" customHeight="1">
      <c r="A21" s="11" t="s">
        <v>32</v>
      </c>
      <c r="B21" s="12">
        <f>_xlfn.COMPOUNDVALUE(375)</f>
        <v>3803</v>
      </c>
      <c r="C21" s="13">
        <v>14148681</v>
      </c>
      <c r="D21" s="12">
        <f>_xlfn.COMPOUNDVALUE(376)</f>
        <v>1423</v>
      </c>
      <c r="E21" s="13">
        <v>486783</v>
      </c>
      <c r="F21" s="12">
        <f>_xlfn.COMPOUNDVALUE(377)</f>
        <v>5226</v>
      </c>
      <c r="G21" s="13">
        <v>14635463</v>
      </c>
      <c r="H21" s="12">
        <f>_xlfn.COMPOUNDVALUE(378)</f>
        <v>250</v>
      </c>
      <c r="I21" s="14">
        <v>18893940</v>
      </c>
      <c r="J21" s="12">
        <v>223</v>
      </c>
      <c r="K21" s="14">
        <v>58055</v>
      </c>
      <c r="L21" s="12">
        <v>5505</v>
      </c>
      <c r="M21" s="14">
        <v>-4200421</v>
      </c>
      <c r="N21" s="15" t="s">
        <v>32</v>
      </c>
    </row>
    <row r="22" spans="1:14" ht="15.75" customHeight="1">
      <c r="A22" s="16" t="s">
        <v>33</v>
      </c>
      <c r="B22" s="17">
        <f>_xlfn.COMPOUNDVALUE(379)</f>
        <v>2436</v>
      </c>
      <c r="C22" s="18">
        <v>12924493</v>
      </c>
      <c r="D22" s="17">
        <f>_xlfn.COMPOUNDVALUE(380)</f>
        <v>831</v>
      </c>
      <c r="E22" s="18">
        <v>312191</v>
      </c>
      <c r="F22" s="17">
        <f>_xlfn.COMPOUNDVALUE(381)</f>
        <v>3267</v>
      </c>
      <c r="G22" s="18">
        <v>13236684</v>
      </c>
      <c r="H22" s="17">
        <f>_xlfn.COMPOUNDVALUE(382)</f>
        <v>167</v>
      </c>
      <c r="I22" s="19">
        <v>2196070</v>
      </c>
      <c r="J22" s="17">
        <v>234</v>
      </c>
      <c r="K22" s="19">
        <v>25883</v>
      </c>
      <c r="L22" s="17">
        <v>3454</v>
      </c>
      <c r="M22" s="19">
        <v>11066496</v>
      </c>
      <c r="N22" s="20" t="s">
        <v>33</v>
      </c>
    </row>
    <row r="23" spans="1:14" ht="15.75" customHeight="1">
      <c r="A23" s="16" t="s">
        <v>34</v>
      </c>
      <c r="B23" s="17">
        <f>_xlfn.COMPOUNDVALUE(383)</f>
        <v>1031</v>
      </c>
      <c r="C23" s="18">
        <v>4560410</v>
      </c>
      <c r="D23" s="17">
        <f>_xlfn.COMPOUNDVALUE(384)</f>
        <v>378</v>
      </c>
      <c r="E23" s="18">
        <v>138744</v>
      </c>
      <c r="F23" s="17">
        <f>_xlfn.COMPOUNDVALUE(385)</f>
        <v>1409</v>
      </c>
      <c r="G23" s="18">
        <v>4699154</v>
      </c>
      <c r="H23" s="17">
        <f>_xlfn.COMPOUNDVALUE(386)</f>
        <v>48</v>
      </c>
      <c r="I23" s="19">
        <v>82234</v>
      </c>
      <c r="J23" s="17">
        <v>98</v>
      </c>
      <c r="K23" s="19">
        <v>-14817</v>
      </c>
      <c r="L23" s="17">
        <v>1473</v>
      </c>
      <c r="M23" s="19">
        <v>4602103</v>
      </c>
      <c r="N23" s="20" t="s">
        <v>34</v>
      </c>
    </row>
    <row r="24" spans="1:14" ht="15.75" customHeight="1">
      <c r="A24" s="16" t="s">
        <v>35</v>
      </c>
      <c r="B24" s="17">
        <f>_xlfn.COMPOUNDVALUE(387)</f>
        <v>826</v>
      </c>
      <c r="C24" s="18">
        <v>1962495</v>
      </c>
      <c r="D24" s="17">
        <f>_xlfn.COMPOUNDVALUE(388)</f>
        <v>249</v>
      </c>
      <c r="E24" s="18">
        <v>82552</v>
      </c>
      <c r="F24" s="17">
        <f>_xlfn.COMPOUNDVALUE(389)</f>
        <v>1075</v>
      </c>
      <c r="G24" s="18">
        <v>2045047</v>
      </c>
      <c r="H24" s="17">
        <f>_xlfn.COMPOUNDVALUE(390)</f>
        <v>41</v>
      </c>
      <c r="I24" s="19">
        <v>99347</v>
      </c>
      <c r="J24" s="17">
        <v>94</v>
      </c>
      <c r="K24" s="19">
        <v>17075</v>
      </c>
      <c r="L24" s="17">
        <v>1124</v>
      </c>
      <c r="M24" s="19">
        <v>1962775</v>
      </c>
      <c r="N24" s="20" t="s">
        <v>35</v>
      </c>
    </row>
    <row r="25" spans="1:14" ht="15.75" customHeight="1">
      <c r="A25" s="16" t="s">
        <v>36</v>
      </c>
      <c r="B25" s="17">
        <f>_xlfn.COMPOUNDVALUE(391)</f>
        <v>4056</v>
      </c>
      <c r="C25" s="18">
        <v>14558290</v>
      </c>
      <c r="D25" s="17">
        <f>_xlfn.COMPOUNDVALUE(392)</f>
        <v>1220</v>
      </c>
      <c r="E25" s="18">
        <v>457986</v>
      </c>
      <c r="F25" s="17">
        <f>_xlfn.COMPOUNDVALUE(393)</f>
        <v>5276</v>
      </c>
      <c r="G25" s="18">
        <v>15016275</v>
      </c>
      <c r="H25" s="17">
        <f>_xlfn.COMPOUNDVALUE(394)</f>
        <v>336</v>
      </c>
      <c r="I25" s="19">
        <v>716582</v>
      </c>
      <c r="J25" s="17">
        <v>263</v>
      </c>
      <c r="K25" s="19">
        <v>46802</v>
      </c>
      <c r="L25" s="17">
        <v>5644</v>
      </c>
      <c r="M25" s="19">
        <v>14346495</v>
      </c>
      <c r="N25" s="20" t="s">
        <v>36</v>
      </c>
    </row>
    <row r="26" spans="1:14" ht="15.75" customHeight="1">
      <c r="A26" s="16" t="s">
        <v>37</v>
      </c>
      <c r="B26" s="17">
        <f>_xlfn.COMPOUNDVALUE(395)</f>
        <v>381</v>
      </c>
      <c r="C26" s="18">
        <v>934059</v>
      </c>
      <c r="D26" s="17">
        <f>_xlfn.COMPOUNDVALUE(396)</f>
        <v>137</v>
      </c>
      <c r="E26" s="18">
        <v>45895</v>
      </c>
      <c r="F26" s="17">
        <f>_xlfn.COMPOUNDVALUE(397)</f>
        <v>518</v>
      </c>
      <c r="G26" s="18">
        <v>979954</v>
      </c>
      <c r="H26" s="17">
        <f>_xlfn.COMPOUNDVALUE(398)</f>
        <v>16</v>
      </c>
      <c r="I26" s="19">
        <v>20042</v>
      </c>
      <c r="J26" s="17">
        <v>30</v>
      </c>
      <c r="K26" s="19">
        <v>1458</v>
      </c>
      <c r="L26" s="17">
        <v>536</v>
      </c>
      <c r="M26" s="19">
        <v>961370</v>
      </c>
      <c r="N26" s="20" t="s">
        <v>37</v>
      </c>
    </row>
    <row r="27" spans="1:14" ht="15.75" customHeight="1">
      <c r="A27" s="16" t="s">
        <v>38</v>
      </c>
      <c r="B27" s="17">
        <f>_xlfn.COMPOUNDVALUE(399)</f>
        <v>1125</v>
      </c>
      <c r="C27" s="18">
        <v>3177031</v>
      </c>
      <c r="D27" s="17">
        <f>_xlfn.COMPOUNDVALUE(400)</f>
        <v>314</v>
      </c>
      <c r="E27" s="18">
        <v>114867</v>
      </c>
      <c r="F27" s="17">
        <f>_xlfn.COMPOUNDVALUE(401)</f>
        <v>1439</v>
      </c>
      <c r="G27" s="18">
        <v>3291898</v>
      </c>
      <c r="H27" s="17">
        <f>_xlfn.COMPOUNDVALUE(402)</f>
        <v>67</v>
      </c>
      <c r="I27" s="19">
        <v>283511</v>
      </c>
      <c r="J27" s="17">
        <v>56</v>
      </c>
      <c r="K27" s="19">
        <v>4961</v>
      </c>
      <c r="L27" s="17">
        <v>1513</v>
      </c>
      <c r="M27" s="19">
        <v>3013348</v>
      </c>
      <c r="N27" s="20" t="s">
        <v>38</v>
      </c>
    </row>
    <row r="28" spans="1:14" ht="15.75" customHeight="1">
      <c r="A28" s="16" t="s">
        <v>39</v>
      </c>
      <c r="B28" s="17">
        <f>_xlfn.COMPOUNDVALUE(403)</f>
        <v>492</v>
      </c>
      <c r="C28" s="18">
        <v>1384174</v>
      </c>
      <c r="D28" s="17">
        <f>_xlfn.COMPOUNDVALUE(404)</f>
        <v>127</v>
      </c>
      <c r="E28" s="18">
        <v>45280</v>
      </c>
      <c r="F28" s="17">
        <f>_xlfn.COMPOUNDVALUE(405)</f>
        <v>619</v>
      </c>
      <c r="G28" s="18">
        <v>1429454</v>
      </c>
      <c r="H28" s="17">
        <f>_xlfn.COMPOUNDVALUE(406)</f>
        <v>17</v>
      </c>
      <c r="I28" s="19">
        <v>9055</v>
      </c>
      <c r="J28" s="17">
        <v>71</v>
      </c>
      <c r="K28" s="19">
        <v>10639</v>
      </c>
      <c r="L28" s="17">
        <v>638</v>
      </c>
      <c r="M28" s="19">
        <v>1431037</v>
      </c>
      <c r="N28" s="20" t="s">
        <v>39</v>
      </c>
    </row>
    <row r="29" spans="1:14" ht="15.75" customHeight="1">
      <c r="A29" s="21" t="s">
        <v>113</v>
      </c>
      <c r="B29" s="22">
        <v>27460</v>
      </c>
      <c r="C29" s="23">
        <v>139625195</v>
      </c>
      <c r="D29" s="22">
        <v>9548</v>
      </c>
      <c r="E29" s="23">
        <v>3357008</v>
      </c>
      <c r="F29" s="22">
        <v>37008</v>
      </c>
      <c r="G29" s="23">
        <v>142982204</v>
      </c>
      <c r="H29" s="22">
        <v>1951</v>
      </c>
      <c r="I29" s="24">
        <v>37711186</v>
      </c>
      <c r="J29" s="22">
        <v>2141</v>
      </c>
      <c r="K29" s="24">
        <v>307117</v>
      </c>
      <c r="L29" s="22">
        <v>39189</v>
      </c>
      <c r="M29" s="24">
        <v>105578134</v>
      </c>
      <c r="N29" s="25" t="s">
        <v>132</v>
      </c>
    </row>
    <row r="30" spans="1:14" ht="15.75" customHeight="1">
      <c r="A30" s="35"/>
      <c r="B30" s="36"/>
      <c r="C30" s="37"/>
      <c r="D30" s="36"/>
      <c r="E30" s="37"/>
      <c r="F30" s="38"/>
      <c r="G30" s="37"/>
      <c r="H30" s="38"/>
      <c r="I30" s="37"/>
      <c r="J30" s="38"/>
      <c r="K30" s="37"/>
      <c r="L30" s="38"/>
      <c r="M30" s="37"/>
      <c r="N30" s="39"/>
    </row>
    <row r="31" spans="1:14" ht="15.75" customHeight="1">
      <c r="A31" s="11" t="s">
        <v>41</v>
      </c>
      <c r="B31" s="12">
        <f>_xlfn.COMPOUNDVALUE(407)</f>
        <v>2695</v>
      </c>
      <c r="C31" s="13">
        <v>23063168</v>
      </c>
      <c r="D31" s="12">
        <f>_xlfn.COMPOUNDVALUE(408)</f>
        <v>686</v>
      </c>
      <c r="E31" s="13">
        <v>242024</v>
      </c>
      <c r="F31" s="12">
        <f>_xlfn.COMPOUNDVALUE(409)</f>
        <v>3381</v>
      </c>
      <c r="G31" s="13">
        <v>23305192</v>
      </c>
      <c r="H31" s="12">
        <f>_xlfn.COMPOUNDVALUE(410)</f>
        <v>339</v>
      </c>
      <c r="I31" s="14">
        <v>1425931</v>
      </c>
      <c r="J31" s="12">
        <v>228</v>
      </c>
      <c r="K31" s="14">
        <v>-1195</v>
      </c>
      <c r="L31" s="12">
        <v>3756</v>
      </c>
      <c r="M31" s="14">
        <v>21878066</v>
      </c>
      <c r="N31" s="40" t="s">
        <v>41</v>
      </c>
    </row>
    <row r="32" spans="1:14" ht="15.75" customHeight="1">
      <c r="A32" s="11" t="s">
        <v>42</v>
      </c>
      <c r="B32" s="12">
        <f>_xlfn.COMPOUNDVALUE(411)</f>
        <v>5432</v>
      </c>
      <c r="C32" s="13">
        <v>51154950</v>
      </c>
      <c r="D32" s="12">
        <f>_xlfn.COMPOUNDVALUE(412)</f>
        <v>1254</v>
      </c>
      <c r="E32" s="13">
        <v>498395</v>
      </c>
      <c r="F32" s="12">
        <f>_xlfn.COMPOUNDVALUE(413)</f>
        <v>6686</v>
      </c>
      <c r="G32" s="13">
        <v>51653345</v>
      </c>
      <c r="H32" s="12">
        <f>_xlfn.COMPOUNDVALUE(414)</f>
        <v>1058</v>
      </c>
      <c r="I32" s="14">
        <v>16355258</v>
      </c>
      <c r="J32" s="12">
        <v>450</v>
      </c>
      <c r="K32" s="14">
        <v>104985</v>
      </c>
      <c r="L32" s="12">
        <v>7796</v>
      </c>
      <c r="M32" s="14">
        <v>35403072</v>
      </c>
      <c r="N32" s="15" t="s">
        <v>42</v>
      </c>
    </row>
    <row r="33" spans="1:14" ht="15.75" customHeight="1">
      <c r="A33" s="11" t="s">
        <v>43</v>
      </c>
      <c r="B33" s="12">
        <f>_xlfn.COMPOUNDVALUE(415)</f>
        <v>2221</v>
      </c>
      <c r="C33" s="13">
        <v>11826625</v>
      </c>
      <c r="D33" s="12">
        <f>_xlfn.COMPOUNDVALUE(416)</f>
        <v>655</v>
      </c>
      <c r="E33" s="13">
        <v>247899</v>
      </c>
      <c r="F33" s="12">
        <f>_xlfn.COMPOUNDVALUE(417)</f>
        <v>2876</v>
      </c>
      <c r="G33" s="13">
        <v>12074523</v>
      </c>
      <c r="H33" s="12">
        <f>_xlfn.COMPOUNDVALUE(418)</f>
        <v>260</v>
      </c>
      <c r="I33" s="14">
        <v>687240</v>
      </c>
      <c r="J33" s="12">
        <v>178</v>
      </c>
      <c r="K33" s="14">
        <v>17631</v>
      </c>
      <c r="L33" s="12">
        <v>3168</v>
      </c>
      <c r="M33" s="14">
        <v>11404915</v>
      </c>
      <c r="N33" s="15" t="s">
        <v>43</v>
      </c>
    </row>
    <row r="34" spans="1:14" ht="15.75" customHeight="1">
      <c r="A34" s="11" t="s">
        <v>44</v>
      </c>
      <c r="B34" s="12">
        <f>_xlfn.COMPOUNDVALUE(419)</f>
        <v>2024</v>
      </c>
      <c r="C34" s="13">
        <v>17294780</v>
      </c>
      <c r="D34" s="12">
        <f>_xlfn.COMPOUNDVALUE(420)</f>
        <v>712</v>
      </c>
      <c r="E34" s="13">
        <v>241459</v>
      </c>
      <c r="F34" s="12">
        <f>_xlfn.COMPOUNDVALUE(421)</f>
        <v>2736</v>
      </c>
      <c r="G34" s="13">
        <v>17536239</v>
      </c>
      <c r="H34" s="12">
        <f>_xlfn.COMPOUNDVALUE(422)</f>
        <v>287</v>
      </c>
      <c r="I34" s="14">
        <v>899636</v>
      </c>
      <c r="J34" s="12">
        <v>177</v>
      </c>
      <c r="K34" s="14">
        <v>95314</v>
      </c>
      <c r="L34" s="12">
        <v>3073</v>
      </c>
      <c r="M34" s="14">
        <v>16731917</v>
      </c>
      <c r="N34" s="15" t="s">
        <v>44</v>
      </c>
    </row>
    <row r="35" spans="1:14" ht="15.75" customHeight="1">
      <c r="A35" s="11" t="s">
        <v>45</v>
      </c>
      <c r="B35" s="12">
        <f>_xlfn.COMPOUNDVALUE(423)</f>
        <v>2294</v>
      </c>
      <c r="C35" s="13">
        <v>14381146</v>
      </c>
      <c r="D35" s="12">
        <f>_xlfn.COMPOUNDVALUE(424)</f>
        <v>547</v>
      </c>
      <c r="E35" s="13">
        <v>201405</v>
      </c>
      <c r="F35" s="12">
        <f>_xlfn.COMPOUNDVALUE(425)</f>
        <v>2841</v>
      </c>
      <c r="G35" s="13">
        <v>14582551</v>
      </c>
      <c r="H35" s="12">
        <f>_xlfn.COMPOUNDVALUE(426)</f>
        <v>348</v>
      </c>
      <c r="I35" s="14">
        <v>7535032</v>
      </c>
      <c r="J35" s="12">
        <v>146</v>
      </c>
      <c r="K35" s="14">
        <v>65401</v>
      </c>
      <c r="L35" s="12">
        <v>3208</v>
      </c>
      <c r="M35" s="14">
        <v>7112920</v>
      </c>
      <c r="N35" s="15" t="s">
        <v>45</v>
      </c>
    </row>
    <row r="36" spans="1:14" ht="15.75" customHeight="1">
      <c r="A36" s="11" t="s">
        <v>46</v>
      </c>
      <c r="B36" s="12">
        <f>_xlfn.COMPOUNDVALUE(427)</f>
        <v>1482</v>
      </c>
      <c r="C36" s="13">
        <v>10165897</v>
      </c>
      <c r="D36" s="12">
        <f>_xlfn.COMPOUNDVALUE(428)</f>
        <v>426</v>
      </c>
      <c r="E36" s="13">
        <v>172282</v>
      </c>
      <c r="F36" s="12">
        <f>_xlfn.COMPOUNDVALUE(429)</f>
        <v>1908</v>
      </c>
      <c r="G36" s="13">
        <v>10338179</v>
      </c>
      <c r="H36" s="12">
        <f>_xlfn.COMPOUNDVALUE(430)</f>
        <v>124</v>
      </c>
      <c r="I36" s="14">
        <v>602431</v>
      </c>
      <c r="J36" s="12">
        <v>139</v>
      </c>
      <c r="K36" s="14">
        <v>1074</v>
      </c>
      <c r="L36" s="12">
        <v>2048</v>
      </c>
      <c r="M36" s="14">
        <v>9736821</v>
      </c>
      <c r="N36" s="15" t="s">
        <v>46</v>
      </c>
    </row>
    <row r="37" spans="1:14" ht="15.75" customHeight="1">
      <c r="A37" s="11" t="s">
        <v>47</v>
      </c>
      <c r="B37" s="12">
        <f>_xlfn.COMPOUNDVALUE(431)</f>
        <v>1617</v>
      </c>
      <c r="C37" s="13">
        <v>8715694</v>
      </c>
      <c r="D37" s="12">
        <f>_xlfn.COMPOUNDVALUE(432)</f>
        <v>599</v>
      </c>
      <c r="E37" s="13">
        <v>199036</v>
      </c>
      <c r="F37" s="12">
        <f>_xlfn.COMPOUNDVALUE(433)</f>
        <v>2216</v>
      </c>
      <c r="G37" s="13">
        <v>8914730</v>
      </c>
      <c r="H37" s="12">
        <f>_xlfn.COMPOUNDVALUE(434)</f>
        <v>162</v>
      </c>
      <c r="I37" s="14">
        <v>363692</v>
      </c>
      <c r="J37" s="12">
        <v>179</v>
      </c>
      <c r="K37" s="14">
        <v>11138</v>
      </c>
      <c r="L37" s="12">
        <v>2395</v>
      </c>
      <c r="M37" s="14">
        <v>8562176</v>
      </c>
      <c r="N37" s="15" t="s">
        <v>47</v>
      </c>
    </row>
    <row r="38" spans="1:14" ht="15.75" customHeight="1">
      <c r="A38" s="11" t="s">
        <v>48</v>
      </c>
      <c r="B38" s="12">
        <f>_xlfn.COMPOUNDVALUE(435)</f>
        <v>1661</v>
      </c>
      <c r="C38" s="13">
        <v>7823910</v>
      </c>
      <c r="D38" s="12">
        <f>_xlfn.COMPOUNDVALUE(432)</f>
        <v>684</v>
      </c>
      <c r="E38" s="13">
        <v>234794</v>
      </c>
      <c r="F38" s="12">
        <f>_xlfn.COMPOUNDVALUE(436)</f>
        <v>2345</v>
      </c>
      <c r="G38" s="13">
        <v>8058704</v>
      </c>
      <c r="H38" s="12">
        <f>_xlfn.COMPOUNDVALUE(437)</f>
        <v>154</v>
      </c>
      <c r="I38" s="14">
        <v>122425</v>
      </c>
      <c r="J38" s="12">
        <v>144</v>
      </c>
      <c r="K38" s="14">
        <v>3849</v>
      </c>
      <c r="L38" s="12">
        <v>2523</v>
      </c>
      <c r="M38" s="14">
        <v>7940128</v>
      </c>
      <c r="N38" s="15" t="s">
        <v>48</v>
      </c>
    </row>
    <row r="39" spans="1:14" ht="15.75" customHeight="1">
      <c r="A39" s="11" t="s">
        <v>49</v>
      </c>
      <c r="B39" s="12">
        <f>_xlfn.COMPOUNDVALUE(431)</f>
        <v>2346</v>
      </c>
      <c r="C39" s="13">
        <v>9312217</v>
      </c>
      <c r="D39" s="12">
        <f>_xlfn.COMPOUNDVALUE(438)</f>
        <v>830</v>
      </c>
      <c r="E39" s="13">
        <v>300293</v>
      </c>
      <c r="F39" s="12">
        <f>_xlfn.COMPOUNDVALUE(439)</f>
        <v>3176</v>
      </c>
      <c r="G39" s="13">
        <v>9612510</v>
      </c>
      <c r="H39" s="12">
        <f>_xlfn.COMPOUNDVALUE(440)</f>
        <v>191</v>
      </c>
      <c r="I39" s="14">
        <v>289050</v>
      </c>
      <c r="J39" s="12">
        <v>215</v>
      </c>
      <c r="K39" s="14">
        <v>46901</v>
      </c>
      <c r="L39" s="12">
        <v>3395</v>
      </c>
      <c r="M39" s="14">
        <v>9370361</v>
      </c>
      <c r="N39" s="15" t="s">
        <v>49</v>
      </c>
    </row>
    <row r="40" spans="1:14" ht="15.75" customHeight="1">
      <c r="A40" s="11" t="s">
        <v>50</v>
      </c>
      <c r="B40" s="12">
        <f>_xlfn.COMPOUNDVALUE(441)</f>
        <v>2701</v>
      </c>
      <c r="C40" s="13">
        <v>13090514</v>
      </c>
      <c r="D40" s="12">
        <f>_xlfn.COMPOUNDVALUE(442)</f>
        <v>990</v>
      </c>
      <c r="E40" s="13">
        <v>354597</v>
      </c>
      <c r="F40" s="12">
        <f>_xlfn.COMPOUNDVALUE(443)</f>
        <v>3691</v>
      </c>
      <c r="G40" s="13">
        <v>13445112</v>
      </c>
      <c r="H40" s="12">
        <f>_xlfn.COMPOUNDVALUE(444)</f>
        <v>193</v>
      </c>
      <c r="I40" s="14">
        <v>978255</v>
      </c>
      <c r="J40" s="12">
        <v>288</v>
      </c>
      <c r="K40" s="14">
        <v>6123</v>
      </c>
      <c r="L40" s="12">
        <v>3942</v>
      </c>
      <c r="M40" s="14">
        <v>12472979</v>
      </c>
      <c r="N40" s="15" t="s">
        <v>50</v>
      </c>
    </row>
    <row r="41" spans="1:14" ht="15.75" customHeight="1">
      <c r="A41" s="11" t="s">
        <v>51</v>
      </c>
      <c r="B41" s="12">
        <f>_xlfn.COMPOUNDVALUE(445)</f>
        <v>1254</v>
      </c>
      <c r="C41" s="13">
        <v>7926186</v>
      </c>
      <c r="D41" s="12">
        <f>_xlfn.COMPOUNDVALUE(446)</f>
        <v>487</v>
      </c>
      <c r="E41" s="13">
        <v>166837</v>
      </c>
      <c r="F41" s="12">
        <f>_xlfn.COMPOUNDVALUE(447)</f>
        <v>1741</v>
      </c>
      <c r="G41" s="13">
        <v>8093023</v>
      </c>
      <c r="H41" s="12">
        <f>_xlfn.COMPOUNDVALUE(448)</f>
        <v>137</v>
      </c>
      <c r="I41" s="14">
        <v>13155907</v>
      </c>
      <c r="J41" s="12">
        <v>100</v>
      </c>
      <c r="K41" s="14">
        <v>26986</v>
      </c>
      <c r="L41" s="12">
        <v>1897</v>
      </c>
      <c r="M41" s="14">
        <v>-5035898</v>
      </c>
      <c r="N41" s="15" t="s">
        <v>51</v>
      </c>
    </row>
    <row r="42" spans="1:14" ht="15.75" customHeight="1">
      <c r="A42" s="11" t="s">
        <v>52</v>
      </c>
      <c r="B42" s="12">
        <f>_xlfn.COMPOUNDVALUE(449)</f>
        <v>2699</v>
      </c>
      <c r="C42" s="13">
        <v>13401625</v>
      </c>
      <c r="D42" s="12">
        <f>_xlfn.COMPOUNDVALUE(450)</f>
        <v>889</v>
      </c>
      <c r="E42" s="13">
        <v>339343</v>
      </c>
      <c r="F42" s="12">
        <f>_xlfn.COMPOUNDVALUE(451)</f>
        <v>3588</v>
      </c>
      <c r="G42" s="13">
        <v>13740968</v>
      </c>
      <c r="H42" s="12">
        <f>_xlfn.COMPOUNDVALUE(452)</f>
        <v>274</v>
      </c>
      <c r="I42" s="14">
        <v>673307</v>
      </c>
      <c r="J42" s="12">
        <v>224</v>
      </c>
      <c r="K42" s="14">
        <v>25405</v>
      </c>
      <c r="L42" s="12">
        <v>3896</v>
      </c>
      <c r="M42" s="14">
        <v>13093067</v>
      </c>
      <c r="N42" s="15" t="s">
        <v>52</v>
      </c>
    </row>
    <row r="43" spans="1:14" ht="15.75" customHeight="1">
      <c r="A43" s="11" t="s">
        <v>53</v>
      </c>
      <c r="B43" s="12">
        <f>_xlfn.COMPOUNDVALUE(453)</f>
        <v>3971</v>
      </c>
      <c r="C43" s="13">
        <v>12889108</v>
      </c>
      <c r="D43" s="12">
        <f>_xlfn.COMPOUNDVALUE(454)</f>
        <v>1442</v>
      </c>
      <c r="E43" s="13">
        <v>518018</v>
      </c>
      <c r="F43" s="12">
        <f>_xlfn.COMPOUNDVALUE(455)</f>
        <v>5413</v>
      </c>
      <c r="G43" s="13">
        <v>13407126</v>
      </c>
      <c r="H43" s="12">
        <f>_xlfn.COMPOUNDVALUE(456)</f>
        <v>281</v>
      </c>
      <c r="I43" s="14">
        <v>1044702</v>
      </c>
      <c r="J43" s="12">
        <v>240</v>
      </c>
      <c r="K43" s="14">
        <v>64088</v>
      </c>
      <c r="L43" s="12">
        <v>5735</v>
      </c>
      <c r="M43" s="14">
        <v>12426512</v>
      </c>
      <c r="N43" s="15" t="s">
        <v>53</v>
      </c>
    </row>
    <row r="44" spans="1:14" ht="15.75" customHeight="1">
      <c r="A44" s="11" t="s">
        <v>54</v>
      </c>
      <c r="B44" s="12">
        <f>_xlfn.COMPOUNDVALUE(457)</f>
        <v>1134</v>
      </c>
      <c r="C44" s="13">
        <v>5955269</v>
      </c>
      <c r="D44" s="12">
        <f>_xlfn.COMPOUNDVALUE(458)</f>
        <v>405</v>
      </c>
      <c r="E44" s="13">
        <v>135207</v>
      </c>
      <c r="F44" s="12">
        <f>_xlfn.COMPOUNDVALUE(459)</f>
        <v>1539</v>
      </c>
      <c r="G44" s="13">
        <v>6090476</v>
      </c>
      <c r="H44" s="12">
        <f>_xlfn.COMPOUNDVALUE(460)</f>
        <v>92</v>
      </c>
      <c r="I44" s="14">
        <v>206665</v>
      </c>
      <c r="J44" s="12">
        <v>94</v>
      </c>
      <c r="K44" s="14">
        <v>10769</v>
      </c>
      <c r="L44" s="12">
        <v>1644</v>
      </c>
      <c r="M44" s="14">
        <v>5894580</v>
      </c>
      <c r="N44" s="15" t="s">
        <v>54</v>
      </c>
    </row>
    <row r="45" spans="1:14" ht="15.75" customHeight="1">
      <c r="A45" s="11" t="s">
        <v>55</v>
      </c>
      <c r="B45" s="12">
        <f>_xlfn.COMPOUNDVALUE(461)</f>
        <v>5281</v>
      </c>
      <c r="C45" s="13">
        <v>43269826</v>
      </c>
      <c r="D45" s="12">
        <f>_xlfn.COMPOUNDVALUE(462)</f>
        <v>1725</v>
      </c>
      <c r="E45" s="13">
        <v>714295</v>
      </c>
      <c r="F45" s="12">
        <f>_xlfn.COMPOUNDVALUE(463)</f>
        <v>7006</v>
      </c>
      <c r="G45" s="13">
        <v>43984120</v>
      </c>
      <c r="H45" s="12">
        <f>_xlfn.COMPOUNDVALUE(464)</f>
        <v>675</v>
      </c>
      <c r="I45" s="14">
        <v>2867623</v>
      </c>
      <c r="J45" s="12">
        <v>448</v>
      </c>
      <c r="K45" s="14">
        <v>141244</v>
      </c>
      <c r="L45" s="12">
        <v>7747</v>
      </c>
      <c r="M45" s="14">
        <v>41257741</v>
      </c>
      <c r="N45" s="15" t="s">
        <v>55</v>
      </c>
    </row>
    <row r="46" spans="1:14" ht="15.75" customHeight="1">
      <c r="A46" s="11" t="s">
        <v>56</v>
      </c>
      <c r="B46" s="12">
        <f>_xlfn.COMPOUNDVALUE(465)</f>
        <v>5481</v>
      </c>
      <c r="C46" s="13">
        <v>89064484</v>
      </c>
      <c r="D46" s="12">
        <f>_xlfn.COMPOUNDVALUE(466)</f>
        <v>1370</v>
      </c>
      <c r="E46" s="13">
        <v>597905</v>
      </c>
      <c r="F46" s="12">
        <f>_xlfn.COMPOUNDVALUE(467)</f>
        <v>6851</v>
      </c>
      <c r="G46" s="13">
        <v>89662388</v>
      </c>
      <c r="H46" s="12">
        <f>_xlfn.COMPOUNDVALUE(468)</f>
        <v>803</v>
      </c>
      <c r="I46" s="14">
        <v>44271769</v>
      </c>
      <c r="J46" s="12">
        <v>519</v>
      </c>
      <c r="K46" s="14">
        <v>282533</v>
      </c>
      <c r="L46" s="12">
        <v>7707</v>
      </c>
      <c r="M46" s="14">
        <v>45673152</v>
      </c>
      <c r="N46" s="15" t="s">
        <v>56</v>
      </c>
    </row>
    <row r="47" spans="1:14" ht="15.75" customHeight="1">
      <c r="A47" s="11" t="s">
        <v>57</v>
      </c>
      <c r="B47" s="12">
        <f>_xlfn.COMPOUNDVALUE(461)</f>
        <v>2590</v>
      </c>
      <c r="C47" s="13">
        <v>52280890</v>
      </c>
      <c r="D47" s="12">
        <f>_xlfn.COMPOUNDVALUE(469)</f>
        <v>722</v>
      </c>
      <c r="E47" s="13">
        <v>292922</v>
      </c>
      <c r="F47" s="12">
        <f>_xlfn.COMPOUNDVALUE(470)</f>
        <v>3312</v>
      </c>
      <c r="G47" s="13">
        <v>52573812</v>
      </c>
      <c r="H47" s="12">
        <f>_xlfn.COMPOUNDVALUE(471)</f>
        <v>366</v>
      </c>
      <c r="I47" s="14">
        <v>4598191</v>
      </c>
      <c r="J47" s="12">
        <v>235</v>
      </c>
      <c r="K47" s="14">
        <v>-191466</v>
      </c>
      <c r="L47" s="12">
        <v>3722</v>
      </c>
      <c r="M47" s="14">
        <v>47784155</v>
      </c>
      <c r="N47" s="15" t="s">
        <v>57</v>
      </c>
    </row>
    <row r="48" spans="1:14" ht="15.75" customHeight="1">
      <c r="A48" s="11" t="s">
        <v>58</v>
      </c>
      <c r="B48" s="12">
        <f>_xlfn.COMPOUNDVALUE(472)</f>
        <v>7785</v>
      </c>
      <c r="C48" s="13">
        <v>153036878</v>
      </c>
      <c r="D48" s="12">
        <f>_xlfn.COMPOUNDVALUE(473)</f>
        <v>1833</v>
      </c>
      <c r="E48" s="13">
        <v>824312</v>
      </c>
      <c r="F48" s="12">
        <f>_xlfn.COMPOUNDVALUE(474)</f>
        <v>9618</v>
      </c>
      <c r="G48" s="13">
        <v>153861190</v>
      </c>
      <c r="H48" s="12">
        <f>_xlfn.COMPOUNDVALUE(475)</f>
        <v>1978</v>
      </c>
      <c r="I48" s="14">
        <v>31549069</v>
      </c>
      <c r="J48" s="12">
        <v>854</v>
      </c>
      <c r="K48" s="14">
        <v>20873</v>
      </c>
      <c r="L48" s="12">
        <v>11758</v>
      </c>
      <c r="M48" s="14">
        <v>122332995</v>
      </c>
      <c r="N48" s="15" t="s">
        <v>58</v>
      </c>
    </row>
    <row r="49" spans="1:14" ht="15.75" customHeight="1">
      <c r="A49" s="11" t="s">
        <v>59</v>
      </c>
      <c r="B49" s="12">
        <f>_xlfn.COMPOUNDVALUE(476)</f>
        <v>4295</v>
      </c>
      <c r="C49" s="13">
        <v>36120665</v>
      </c>
      <c r="D49" s="12">
        <f>_xlfn.COMPOUNDVALUE(477)</f>
        <v>1147</v>
      </c>
      <c r="E49" s="13">
        <v>449701</v>
      </c>
      <c r="F49" s="12">
        <f>_xlfn.COMPOUNDVALUE(478)</f>
        <v>5442</v>
      </c>
      <c r="G49" s="13">
        <v>36570366</v>
      </c>
      <c r="H49" s="12">
        <f>_xlfn.COMPOUNDVALUE(479)</f>
        <v>704</v>
      </c>
      <c r="I49" s="14">
        <v>7366965</v>
      </c>
      <c r="J49" s="12">
        <v>398</v>
      </c>
      <c r="K49" s="14">
        <v>64604</v>
      </c>
      <c r="L49" s="12">
        <v>6184</v>
      </c>
      <c r="M49" s="14">
        <v>29268004</v>
      </c>
      <c r="N49" s="15" t="s">
        <v>59</v>
      </c>
    </row>
    <row r="50" spans="1:14" ht="15.75" customHeight="1">
      <c r="A50" s="11" t="s">
        <v>60</v>
      </c>
      <c r="B50" s="12">
        <f>_xlfn.COMPOUNDVALUE(480)</f>
        <v>6997</v>
      </c>
      <c r="C50" s="13">
        <v>32136714</v>
      </c>
      <c r="D50" s="12">
        <f>_xlfn.COMPOUNDVALUE(481)</f>
        <v>2213</v>
      </c>
      <c r="E50" s="13">
        <v>861870</v>
      </c>
      <c r="F50" s="12">
        <f>_xlfn.COMPOUNDVALUE(482)</f>
        <v>9210</v>
      </c>
      <c r="G50" s="13">
        <v>32998585</v>
      </c>
      <c r="H50" s="12">
        <f>_xlfn.COMPOUNDVALUE(483)</f>
        <v>628</v>
      </c>
      <c r="I50" s="14">
        <v>6888326</v>
      </c>
      <c r="J50" s="12">
        <v>474</v>
      </c>
      <c r="K50" s="14">
        <v>49226</v>
      </c>
      <c r="L50" s="12">
        <v>9910</v>
      </c>
      <c r="M50" s="14">
        <v>26159484</v>
      </c>
      <c r="N50" s="15" t="s">
        <v>60</v>
      </c>
    </row>
    <row r="51" spans="1:14" ht="15.75" customHeight="1">
      <c r="A51" s="11" t="s">
        <v>61</v>
      </c>
      <c r="B51" s="12">
        <f>_xlfn.COMPOUNDVALUE(484)</f>
        <v>2471</v>
      </c>
      <c r="C51" s="13">
        <v>8474120</v>
      </c>
      <c r="D51" s="12">
        <f>_xlfn.COMPOUNDVALUE(485)</f>
        <v>672</v>
      </c>
      <c r="E51" s="13">
        <v>252859</v>
      </c>
      <c r="F51" s="12">
        <f>_xlfn.COMPOUNDVALUE(486)</f>
        <v>3143</v>
      </c>
      <c r="G51" s="13">
        <v>8726979</v>
      </c>
      <c r="H51" s="12">
        <f>_xlfn.COMPOUNDVALUE(487)</f>
        <v>186</v>
      </c>
      <c r="I51" s="14">
        <v>546335</v>
      </c>
      <c r="J51" s="12">
        <v>154</v>
      </c>
      <c r="K51" s="14">
        <v>39532</v>
      </c>
      <c r="L51" s="12">
        <v>3349</v>
      </c>
      <c r="M51" s="14">
        <v>8220176</v>
      </c>
      <c r="N51" s="15" t="s">
        <v>61</v>
      </c>
    </row>
    <row r="52" spans="1:14" ht="15.75" customHeight="1">
      <c r="A52" s="11" t="s">
        <v>62</v>
      </c>
      <c r="B52" s="12">
        <f>_xlfn.COMPOUNDVALUE(488)</f>
        <v>5105</v>
      </c>
      <c r="C52" s="13">
        <v>25093441</v>
      </c>
      <c r="D52" s="12">
        <f>_xlfn.COMPOUNDVALUE(489)</f>
        <v>2240</v>
      </c>
      <c r="E52" s="13">
        <v>823798</v>
      </c>
      <c r="F52" s="12">
        <f>_xlfn.COMPOUNDVALUE(490)</f>
        <v>7345</v>
      </c>
      <c r="G52" s="13">
        <v>25917239</v>
      </c>
      <c r="H52" s="12">
        <f>_xlfn.COMPOUNDVALUE(491)</f>
        <v>544</v>
      </c>
      <c r="I52" s="14">
        <v>982255</v>
      </c>
      <c r="J52" s="12">
        <v>433</v>
      </c>
      <c r="K52" s="14">
        <v>34205</v>
      </c>
      <c r="L52" s="12">
        <v>7955</v>
      </c>
      <c r="M52" s="14">
        <v>24969190</v>
      </c>
      <c r="N52" s="15" t="s">
        <v>62</v>
      </c>
    </row>
    <row r="53" spans="1:14" ht="15.75" customHeight="1">
      <c r="A53" s="11" t="s">
        <v>63</v>
      </c>
      <c r="B53" s="12">
        <f>_xlfn.COMPOUNDVALUE(492)</f>
        <v>4129</v>
      </c>
      <c r="C53" s="13">
        <v>24129441</v>
      </c>
      <c r="D53" s="12">
        <f>_xlfn.COMPOUNDVALUE(493)</f>
        <v>1593</v>
      </c>
      <c r="E53" s="13">
        <v>614719</v>
      </c>
      <c r="F53" s="12">
        <f>_xlfn.COMPOUNDVALUE(494)</f>
        <v>5722</v>
      </c>
      <c r="G53" s="13">
        <v>24744161</v>
      </c>
      <c r="H53" s="12">
        <f>_xlfn.COMPOUNDVALUE(495)</f>
        <v>399</v>
      </c>
      <c r="I53" s="14">
        <v>1571172</v>
      </c>
      <c r="J53" s="12">
        <v>378</v>
      </c>
      <c r="K53" s="14">
        <v>-359234</v>
      </c>
      <c r="L53" s="12">
        <v>6152</v>
      </c>
      <c r="M53" s="14">
        <v>22813754</v>
      </c>
      <c r="N53" s="15" t="s">
        <v>63</v>
      </c>
    </row>
    <row r="54" spans="1:14" ht="15.75" customHeight="1">
      <c r="A54" s="11" t="s">
        <v>64</v>
      </c>
      <c r="B54" s="12">
        <f>_xlfn.COMPOUNDVALUE(496)</f>
        <v>2574</v>
      </c>
      <c r="C54" s="13">
        <v>11612489</v>
      </c>
      <c r="D54" s="12">
        <f>_xlfn.COMPOUNDVALUE(497)</f>
        <v>754</v>
      </c>
      <c r="E54" s="13">
        <v>280615</v>
      </c>
      <c r="F54" s="12">
        <f>_xlfn.COMPOUNDVALUE(498)</f>
        <v>3328</v>
      </c>
      <c r="G54" s="13">
        <v>11893104</v>
      </c>
      <c r="H54" s="12">
        <f>_xlfn.COMPOUNDVALUE(499)</f>
        <v>344</v>
      </c>
      <c r="I54" s="14">
        <v>1560843</v>
      </c>
      <c r="J54" s="12">
        <v>209</v>
      </c>
      <c r="K54" s="14">
        <v>139078</v>
      </c>
      <c r="L54" s="12">
        <v>3701</v>
      </c>
      <c r="M54" s="14">
        <v>10471339</v>
      </c>
      <c r="N54" s="15" t="s">
        <v>64</v>
      </c>
    </row>
    <row r="55" spans="1:14" ht="15.75" customHeight="1">
      <c r="A55" s="16" t="s">
        <v>65</v>
      </c>
      <c r="B55" s="17">
        <f>_xlfn.COMPOUNDVALUE(500)</f>
        <v>4261</v>
      </c>
      <c r="C55" s="18">
        <v>17071925</v>
      </c>
      <c r="D55" s="17">
        <f>_xlfn.COMPOUNDVALUE(501)</f>
        <v>1468</v>
      </c>
      <c r="E55" s="18">
        <v>563094</v>
      </c>
      <c r="F55" s="17">
        <f>_xlfn.COMPOUNDVALUE(502)</f>
        <v>5729</v>
      </c>
      <c r="G55" s="18">
        <v>17635019</v>
      </c>
      <c r="H55" s="17">
        <f>_xlfn.COMPOUNDVALUE(503)</f>
        <v>375</v>
      </c>
      <c r="I55" s="19">
        <v>828557</v>
      </c>
      <c r="J55" s="17">
        <v>305</v>
      </c>
      <c r="K55" s="19">
        <v>50973</v>
      </c>
      <c r="L55" s="17">
        <v>6157</v>
      </c>
      <c r="M55" s="19">
        <v>16857435</v>
      </c>
      <c r="N55" s="20" t="s">
        <v>65</v>
      </c>
    </row>
    <row r="56" spans="1:14" ht="15.75" customHeight="1">
      <c r="A56" s="16" t="s">
        <v>66</v>
      </c>
      <c r="B56" s="17">
        <f>_xlfn.COMPOUNDVALUE(504)</f>
        <v>4171</v>
      </c>
      <c r="C56" s="18">
        <v>19608713</v>
      </c>
      <c r="D56" s="17">
        <f>_xlfn.COMPOUNDVALUE(505)</f>
        <v>1535</v>
      </c>
      <c r="E56" s="18">
        <v>569572</v>
      </c>
      <c r="F56" s="17">
        <f>_xlfn.COMPOUNDVALUE(506)</f>
        <v>5706</v>
      </c>
      <c r="G56" s="18">
        <v>20178284</v>
      </c>
      <c r="H56" s="17">
        <f>_xlfn.COMPOUNDVALUE(507)</f>
        <v>303</v>
      </c>
      <c r="I56" s="19">
        <v>10703352</v>
      </c>
      <c r="J56" s="17">
        <v>296</v>
      </c>
      <c r="K56" s="19">
        <v>53653</v>
      </c>
      <c r="L56" s="17">
        <v>6053</v>
      </c>
      <c r="M56" s="19">
        <v>9528586</v>
      </c>
      <c r="N56" s="20" t="s">
        <v>66</v>
      </c>
    </row>
    <row r="57" spans="1:14" ht="15.75" customHeight="1">
      <c r="A57" s="16" t="s">
        <v>67</v>
      </c>
      <c r="B57" s="17">
        <f>_xlfn.COMPOUNDVALUE(508)</f>
        <v>4848</v>
      </c>
      <c r="C57" s="18">
        <v>18253992</v>
      </c>
      <c r="D57" s="17">
        <f>_xlfn.COMPOUNDVALUE(509)</f>
        <v>1767</v>
      </c>
      <c r="E57" s="18">
        <v>692244</v>
      </c>
      <c r="F57" s="17">
        <f>_xlfn.COMPOUNDVALUE(510)</f>
        <v>6615</v>
      </c>
      <c r="G57" s="18">
        <v>18946237</v>
      </c>
      <c r="H57" s="17">
        <f>_xlfn.COMPOUNDVALUE(511)</f>
        <v>287</v>
      </c>
      <c r="I57" s="19">
        <v>2194530</v>
      </c>
      <c r="J57" s="17">
        <v>439</v>
      </c>
      <c r="K57" s="19">
        <v>-65118</v>
      </c>
      <c r="L57" s="17">
        <v>6945</v>
      </c>
      <c r="M57" s="19">
        <v>16686589</v>
      </c>
      <c r="N57" s="20" t="s">
        <v>67</v>
      </c>
    </row>
    <row r="58" spans="1:14" ht="15.75" customHeight="1">
      <c r="A58" s="16" t="s">
        <v>68</v>
      </c>
      <c r="B58" s="17">
        <f>_xlfn.COMPOUNDVALUE(512)</f>
        <v>2145</v>
      </c>
      <c r="C58" s="18">
        <v>9186085</v>
      </c>
      <c r="D58" s="17">
        <f>_xlfn.COMPOUNDVALUE(513)</f>
        <v>571</v>
      </c>
      <c r="E58" s="18">
        <v>207905</v>
      </c>
      <c r="F58" s="17">
        <f>_xlfn.COMPOUNDVALUE(514)</f>
        <v>2716</v>
      </c>
      <c r="G58" s="18">
        <v>9393990</v>
      </c>
      <c r="H58" s="17">
        <f>_xlfn.COMPOUNDVALUE(515)</f>
        <v>204</v>
      </c>
      <c r="I58" s="19">
        <v>14897324</v>
      </c>
      <c r="J58" s="17">
        <v>136</v>
      </c>
      <c r="K58" s="19">
        <v>22685</v>
      </c>
      <c r="L58" s="17">
        <v>2934</v>
      </c>
      <c r="M58" s="19">
        <v>-5480648</v>
      </c>
      <c r="N58" s="20" t="s">
        <v>68</v>
      </c>
    </row>
    <row r="59" spans="1:14" ht="15.75" customHeight="1">
      <c r="A59" s="16" t="s">
        <v>69</v>
      </c>
      <c r="B59" s="17">
        <f>_xlfn.COMPOUNDVALUE(516)</f>
        <v>4053</v>
      </c>
      <c r="C59" s="18">
        <v>13414286</v>
      </c>
      <c r="D59" s="17">
        <f>_xlfn.COMPOUNDVALUE(517)</f>
        <v>1399</v>
      </c>
      <c r="E59" s="18">
        <v>519511</v>
      </c>
      <c r="F59" s="17">
        <f>_xlfn.COMPOUNDVALUE(518)</f>
        <v>5452</v>
      </c>
      <c r="G59" s="18">
        <v>13933796</v>
      </c>
      <c r="H59" s="17">
        <f>_xlfn.COMPOUNDVALUE(519)</f>
        <v>339</v>
      </c>
      <c r="I59" s="19">
        <v>469516</v>
      </c>
      <c r="J59" s="17">
        <v>250</v>
      </c>
      <c r="K59" s="19">
        <v>27841</v>
      </c>
      <c r="L59" s="17">
        <v>5842</v>
      </c>
      <c r="M59" s="19">
        <v>13492121</v>
      </c>
      <c r="N59" s="20" t="s">
        <v>69</v>
      </c>
    </row>
    <row r="60" spans="1:14" ht="15.75" customHeight="1">
      <c r="A60" s="16" t="s">
        <v>70</v>
      </c>
      <c r="B60" s="17">
        <f>_xlfn.COMPOUNDVALUE(520)</f>
        <v>4656</v>
      </c>
      <c r="C60" s="18">
        <v>20992808</v>
      </c>
      <c r="D60" s="17">
        <f>_xlfn.COMPOUNDVALUE(521)</f>
        <v>1691</v>
      </c>
      <c r="E60" s="18">
        <v>655409</v>
      </c>
      <c r="F60" s="17">
        <f>_xlfn.COMPOUNDVALUE(522)</f>
        <v>6347</v>
      </c>
      <c r="G60" s="18">
        <v>21648217</v>
      </c>
      <c r="H60" s="17">
        <f>_xlfn.COMPOUNDVALUE(523)</f>
        <v>305</v>
      </c>
      <c r="I60" s="19">
        <v>19237175</v>
      </c>
      <c r="J60" s="17">
        <v>370</v>
      </c>
      <c r="K60" s="19">
        <v>-19963</v>
      </c>
      <c r="L60" s="17">
        <v>6706</v>
      </c>
      <c r="M60" s="19">
        <v>2391079</v>
      </c>
      <c r="N60" s="20" t="s">
        <v>70</v>
      </c>
    </row>
    <row r="61" spans="1:14" ht="15.75" customHeight="1">
      <c r="A61" s="16" t="s">
        <v>71</v>
      </c>
      <c r="B61" s="17">
        <f>_xlfn.COMPOUNDVALUE(524)</f>
        <v>7210</v>
      </c>
      <c r="C61" s="18">
        <v>28676825</v>
      </c>
      <c r="D61" s="17">
        <f>_xlfn.COMPOUNDVALUE(525)</f>
        <v>2378</v>
      </c>
      <c r="E61" s="18">
        <v>918508</v>
      </c>
      <c r="F61" s="17">
        <f>_xlfn.COMPOUNDVALUE(526)</f>
        <v>9588</v>
      </c>
      <c r="G61" s="18">
        <v>29595333</v>
      </c>
      <c r="H61" s="17">
        <f>_xlfn.COMPOUNDVALUE(527)</f>
        <v>514</v>
      </c>
      <c r="I61" s="19">
        <v>1298618</v>
      </c>
      <c r="J61" s="17">
        <v>523</v>
      </c>
      <c r="K61" s="19">
        <v>41931</v>
      </c>
      <c r="L61" s="17">
        <v>10141</v>
      </c>
      <c r="M61" s="19">
        <v>28338646</v>
      </c>
      <c r="N61" s="20" t="s">
        <v>71</v>
      </c>
    </row>
    <row r="62" spans="1:14" ht="15.75" customHeight="1">
      <c r="A62" s="21" t="s">
        <v>114</v>
      </c>
      <c r="B62" s="22">
        <v>111583</v>
      </c>
      <c r="C62" s="23">
        <v>809424671</v>
      </c>
      <c r="D62" s="22">
        <v>35684</v>
      </c>
      <c r="E62" s="23">
        <v>13690827</v>
      </c>
      <c r="F62" s="22">
        <v>147267</v>
      </c>
      <c r="G62" s="23">
        <v>823115498</v>
      </c>
      <c r="H62" s="22">
        <v>12854</v>
      </c>
      <c r="I62" s="24">
        <v>196171151</v>
      </c>
      <c r="J62" s="22">
        <v>9223</v>
      </c>
      <c r="K62" s="24">
        <v>811066</v>
      </c>
      <c r="L62" s="22">
        <v>161439</v>
      </c>
      <c r="M62" s="24">
        <v>627755413</v>
      </c>
      <c r="N62" s="25" t="s">
        <v>133</v>
      </c>
    </row>
    <row r="63" spans="1:14" ht="15.75" customHeight="1">
      <c r="A63" s="35"/>
      <c r="B63" s="36"/>
      <c r="C63" s="37"/>
      <c r="D63" s="36"/>
      <c r="E63" s="37"/>
      <c r="F63" s="38"/>
      <c r="G63" s="37"/>
      <c r="H63" s="38"/>
      <c r="I63" s="37"/>
      <c r="J63" s="38"/>
      <c r="K63" s="37"/>
      <c r="L63" s="38"/>
      <c r="M63" s="37"/>
      <c r="N63" s="39"/>
    </row>
    <row r="64" spans="1:14" ht="15.75" customHeight="1">
      <c r="A64" s="11" t="s">
        <v>73</v>
      </c>
      <c r="B64" s="12">
        <f>_xlfn.COMPOUNDVALUE(528)</f>
        <v>1097</v>
      </c>
      <c r="C64" s="13">
        <v>7419685</v>
      </c>
      <c r="D64" s="12">
        <f>_xlfn.COMPOUNDVALUE(529)</f>
        <v>473</v>
      </c>
      <c r="E64" s="13">
        <v>182236</v>
      </c>
      <c r="F64" s="12">
        <f>_xlfn.COMPOUNDVALUE(530)</f>
        <v>1570</v>
      </c>
      <c r="G64" s="13">
        <v>7601921</v>
      </c>
      <c r="H64" s="12">
        <f>_xlfn.COMPOUNDVALUE(531)</f>
        <v>233</v>
      </c>
      <c r="I64" s="14">
        <v>484890</v>
      </c>
      <c r="J64" s="12">
        <v>134</v>
      </c>
      <c r="K64" s="14">
        <v>15126</v>
      </c>
      <c r="L64" s="12">
        <v>1819</v>
      </c>
      <c r="M64" s="14">
        <v>7132157</v>
      </c>
      <c r="N64" s="40" t="s">
        <v>73</v>
      </c>
    </row>
    <row r="65" spans="1:14" ht="15.75" customHeight="1">
      <c r="A65" s="11" t="s">
        <v>74</v>
      </c>
      <c r="B65" s="12">
        <f>_xlfn.COMPOUNDVALUE(532)</f>
        <v>3439</v>
      </c>
      <c r="C65" s="13">
        <v>16189444</v>
      </c>
      <c r="D65" s="12">
        <f>_xlfn.COMPOUNDVALUE(533)</f>
        <v>1147</v>
      </c>
      <c r="E65" s="13">
        <v>409921</v>
      </c>
      <c r="F65" s="12">
        <f>_xlfn.COMPOUNDVALUE(534)</f>
        <v>4586</v>
      </c>
      <c r="G65" s="13">
        <v>16599365</v>
      </c>
      <c r="H65" s="12">
        <f>_xlfn.COMPOUNDVALUE(535)</f>
        <v>381</v>
      </c>
      <c r="I65" s="14">
        <v>2082127</v>
      </c>
      <c r="J65" s="12">
        <v>275</v>
      </c>
      <c r="K65" s="14">
        <v>11786</v>
      </c>
      <c r="L65" s="12">
        <v>5003</v>
      </c>
      <c r="M65" s="14">
        <v>14529023</v>
      </c>
      <c r="N65" s="15" t="s">
        <v>74</v>
      </c>
    </row>
    <row r="66" spans="1:14" ht="15.75" customHeight="1">
      <c r="A66" s="11" t="s">
        <v>75</v>
      </c>
      <c r="B66" s="12">
        <f>_xlfn.COMPOUNDVALUE(536)</f>
        <v>1280</v>
      </c>
      <c r="C66" s="13">
        <v>5333576</v>
      </c>
      <c r="D66" s="12">
        <f>_xlfn.COMPOUNDVALUE(537)</f>
        <v>451</v>
      </c>
      <c r="E66" s="13">
        <v>158645</v>
      </c>
      <c r="F66" s="12">
        <f>_xlfn.COMPOUNDVALUE(538)</f>
        <v>1731</v>
      </c>
      <c r="G66" s="13">
        <v>5492221</v>
      </c>
      <c r="H66" s="12">
        <f>_xlfn.COMPOUNDVALUE(539)</f>
        <v>119</v>
      </c>
      <c r="I66" s="14">
        <v>150063</v>
      </c>
      <c r="J66" s="12">
        <v>105</v>
      </c>
      <c r="K66" s="14">
        <v>17540</v>
      </c>
      <c r="L66" s="12">
        <v>1872</v>
      </c>
      <c r="M66" s="14">
        <v>5359698</v>
      </c>
      <c r="N66" s="15" t="s">
        <v>75</v>
      </c>
    </row>
    <row r="67" spans="1:14" ht="15.75" customHeight="1">
      <c r="A67" s="11" t="s">
        <v>76</v>
      </c>
      <c r="B67" s="12">
        <f>_xlfn.COMPOUNDVALUE(540)</f>
        <v>1660</v>
      </c>
      <c r="C67" s="13">
        <v>4259065</v>
      </c>
      <c r="D67" s="12">
        <f>_xlfn.COMPOUNDVALUE(541)</f>
        <v>731</v>
      </c>
      <c r="E67" s="13">
        <v>267964</v>
      </c>
      <c r="F67" s="12">
        <f>_xlfn.COMPOUNDVALUE(542)</f>
        <v>2391</v>
      </c>
      <c r="G67" s="13">
        <v>4527029</v>
      </c>
      <c r="H67" s="12">
        <f>_xlfn.COMPOUNDVALUE(543)</f>
        <v>208</v>
      </c>
      <c r="I67" s="14">
        <v>390167</v>
      </c>
      <c r="J67" s="12">
        <v>206</v>
      </c>
      <c r="K67" s="14">
        <v>24447</v>
      </c>
      <c r="L67" s="12">
        <v>2627</v>
      </c>
      <c r="M67" s="14">
        <v>4161309</v>
      </c>
      <c r="N67" s="15" t="s">
        <v>76</v>
      </c>
    </row>
    <row r="68" spans="1:14" ht="15.75" customHeight="1">
      <c r="A68" s="11" t="s">
        <v>77</v>
      </c>
      <c r="B68" s="12">
        <f>_xlfn.COMPOUNDVALUE(544)</f>
        <v>4864</v>
      </c>
      <c r="C68" s="13">
        <v>57408786</v>
      </c>
      <c r="D68" s="12">
        <f>_xlfn.COMPOUNDVALUE(545)</f>
        <v>1467</v>
      </c>
      <c r="E68" s="13">
        <v>577321</v>
      </c>
      <c r="F68" s="12">
        <f>_xlfn.COMPOUNDVALUE(546)</f>
        <v>6331</v>
      </c>
      <c r="G68" s="13">
        <v>57986107</v>
      </c>
      <c r="H68" s="12">
        <f>_xlfn.COMPOUNDVALUE(547)</f>
        <v>1563</v>
      </c>
      <c r="I68" s="14">
        <v>26871704</v>
      </c>
      <c r="J68" s="12">
        <v>604</v>
      </c>
      <c r="K68" s="14">
        <v>139769</v>
      </c>
      <c r="L68" s="12">
        <v>7987</v>
      </c>
      <c r="M68" s="14">
        <v>31254173</v>
      </c>
      <c r="N68" s="15" t="s">
        <v>77</v>
      </c>
    </row>
    <row r="69" spans="1:14" ht="15.75" customHeight="1">
      <c r="A69" s="11" t="s">
        <v>78</v>
      </c>
      <c r="B69" s="12">
        <f>_xlfn.COMPOUNDVALUE(548)</f>
        <v>6026</v>
      </c>
      <c r="C69" s="13">
        <v>28396046</v>
      </c>
      <c r="D69" s="12">
        <f>_xlfn.COMPOUNDVALUE(549)</f>
        <v>1832</v>
      </c>
      <c r="E69" s="13">
        <v>707991</v>
      </c>
      <c r="F69" s="12">
        <f>_xlfn.COMPOUNDVALUE(550)</f>
        <v>7858</v>
      </c>
      <c r="G69" s="13">
        <v>29104036</v>
      </c>
      <c r="H69" s="12">
        <f>_xlfn.COMPOUNDVALUE(551)</f>
        <v>327</v>
      </c>
      <c r="I69" s="14">
        <v>2079363</v>
      </c>
      <c r="J69" s="12">
        <v>437</v>
      </c>
      <c r="K69" s="14">
        <v>80696</v>
      </c>
      <c r="L69" s="12">
        <v>8234</v>
      </c>
      <c r="M69" s="14">
        <v>27105370</v>
      </c>
      <c r="N69" s="15" t="s">
        <v>78</v>
      </c>
    </row>
    <row r="70" spans="1:14" ht="15.75" customHeight="1">
      <c r="A70" s="11" t="s">
        <v>79</v>
      </c>
      <c r="B70" s="12">
        <f>_xlfn.COMPOUNDVALUE(552)</f>
        <v>4471</v>
      </c>
      <c r="C70" s="13">
        <v>24347694</v>
      </c>
      <c r="D70" s="12">
        <f>_xlfn.COMPOUNDVALUE(553)</f>
        <v>1425</v>
      </c>
      <c r="E70" s="13">
        <v>538328</v>
      </c>
      <c r="F70" s="12">
        <f>_xlfn.COMPOUNDVALUE(554)</f>
        <v>5896</v>
      </c>
      <c r="G70" s="13">
        <v>24886022</v>
      </c>
      <c r="H70" s="12">
        <f>_xlfn.COMPOUNDVALUE(555)</f>
        <v>403</v>
      </c>
      <c r="I70" s="14">
        <v>1135162</v>
      </c>
      <c r="J70" s="12">
        <v>364</v>
      </c>
      <c r="K70" s="14">
        <v>4384</v>
      </c>
      <c r="L70" s="12">
        <v>6353</v>
      </c>
      <c r="M70" s="14">
        <v>23755244</v>
      </c>
      <c r="N70" s="15" t="s">
        <v>79</v>
      </c>
    </row>
    <row r="71" spans="1:14" ht="15.75" customHeight="1">
      <c r="A71" s="11" t="s">
        <v>80</v>
      </c>
      <c r="B71" s="12">
        <f>_xlfn.COMPOUNDVALUE(556)</f>
        <v>3292</v>
      </c>
      <c r="C71" s="13">
        <v>12784058</v>
      </c>
      <c r="D71" s="12">
        <f>_xlfn.COMPOUNDVALUE(557)</f>
        <v>1227</v>
      </c>
      <c r="E71" s="13">
        <v>478558</v>
      </c>
      <c r="F71" s="12">
        <f>_xlfn.COMPOUNDVALUE(558)</f>
        <v>4519</v>
      </c>
      <c r="G71" s="13">
        <v>13262616</v>
      </c>
      <c r="H71" s="12">
        <f>_xlfn.COMPOUNDVALUE(559)</f>
        <v>300</v>
      </c>
      <c r="I71" s="14">
        <v>625050</v>
      </c>
      <c r="J71" s="12">
        <v>259</v>
      </c>
      <c r="K71" s="14">
        <v>-10966</v>
      </c>
      <c r="L71" s="12">
        <v>4862</v>
      </c>
      <c r="M71" s="14">
        <v>12626600</v>
      </c>
      <c r="N71" s="15" t="s">
        <v>80</v>
      </c>
    </row>
    <row r="72" spans="1:14" ht="15.75" customHeight="1">
      <c r="A72" s="11" t="s">
        <v>81</v>
      </c>
      <c r="B72" s="12">
        <f>_xlfn.COMPOUNDVALUE(560)</f>
        <v>4163</v>
      </c>
      <c r="C72" s="13">
        <v>17226433</v>
      </c>
      <c r="D72" s="12">
        <f>_xlfn.COMPOUNDVALUE(561)</f>
        <v>1879</v>
      </c>
      <c r="E72" s="13">
        <v>675439</v>
      </c>
      <c r="F72" s="12">
        <f>_xlfn.COMPOUNDVALUE(562)</f>
        <v>6042</v>
      </c>
      <c r="G72" s="13">
        <v>17901872</v>
      </c>
      <c r="H72" s="12">
        <f>_xlfn.COMPOUNDVALUE(563)</f>
        <v>497</v>
      </c>
      <c r="I72" s="14">
        <v>1713528</v>
      </c>
      <c r="J72" s="12">
        <v>311</v>
      </c>
      <c r="K72" s="14">
        <v>3179</v>
      </c>
      <c r="L72" s="12">
        <v>6596</v>
      </c>
      <c r="M72" s="14">
        <v>16191523</v>
      </c>
      <c r="N72" s="15" t="s">
        <v>81</v>
      </c>
    </row>
    <row r="73" spans="1:14" ht="15.75" customHeight="1">
      <c r="A73" s="11" t="s">
        <v>82</v>
      </c>
      <c r="B73" s="12">
        <f>_xlfn.COMPOUNDVALUE(564)</f>
        <v>1311</v>
      </c>
      <c r="C73" s="13">
        <v>4210021</v>
      </c>
      <c r="D73" s="12">
        <f>_xlfn.COMPOUNDVALUE(565)</f>
        <v>452</v>
      </c>
      <c r="E73" s="13">
        <v>167755</v>
      </c>
      <c r="F73" s="12">
        <f>_xlfn.COMPOUNDVALUE(566)</f>
        <v>1763</v>
      </c>
      <c r="G73" s="13">
        <v>4377776</v>
      </c>
      <c r="H73" s="12">
        <f>_xlfn.COMPOUNDVALUE(567)</f>
        <v>73</v>
      </c>
      <c r="I73" s="14">
        <v>110647</v>
      </c>
      <c r="J73" s="12">
        <v>79</v>
      </c>
      <c r="K73" s="14">
        <v>12759</v>
      </c>
      <c r="L73" s="12">
        <v>1855</v>
      </c>
      <c r="M73" s="14">
        <v>4279887</v>
      </c>
      <c r="N73" s="15" t="s">
        <v>82</v>
      </c>
    </row>
    <row r="74" spans="1:14" ht="15.75" customHeight="1">
      <c r="A74" s="11" t="s">
        <v>83</v>
      </c>
      <c r="B74" s="12">
        <f>_xlfn.COMPOUNDVALUE(568)</f>
        <v>2467</v>
      </c>
      <c r="C74" s="13">
        <v>16767716</v>
      </c>
      <c r="D74" s="12">
        <f>_xlfn.COMPOUNDVALUE(569)</f>
        <v>990</v>
      </c>
      <c r="E74" s="13">
        <v>380408</v>
      </c>
      <c r="F74" s="12">
        <f>_xlfn.COMPOUNDVALUE(570)</f>
        <v>3457</v>
      </c>
      <c r="G74" s="13">
        <v>17148124</v>
      </c>
      <c r="H74" s="12">
        <f>_xlfn.COMPOUNDVALUE(571)</f>
        <v>462</v>
      </c>
      <c r="I74" s="14">
        <v>1914743</v>
      </c>
      <c r="J74" s="12">
        <v>237</v>
      </c>
      <c r="K74" s="14">
        <v>-13334</v>
      </c>
      <c r="L74" s="12">
        <v>3969</v>
      </c>
      <c r="M74" s="14">
        <v>15220047</v>
      </c>
      <c r="N74" s="15" t="s">
        <v>83</v>
      </c>
    </row>
    <row r="75" spans="1:14" ht="15.75" customHeight="1">
      <c r="A75" s="11" t="s">
        <v>84</v>
      </c>
      <c r="B75" s="12">
        <f>_xlfn.COMPOUNDVALUE(572)</f>
        <v>2346</v>
      </c>
      <c r="C75" s="13">
        <v>10481520</v>
      </c>
      <c r="D75" s="12">
        <f>_xlfn.COMPOUNDVALUE(573)</f>
        <v>922</v>
      </c>
      <c r="E75" s="13">
        <v>341917</v>
      </c>
      <c r="F75" s="12">
        <f>_xlfn.COMPOUNDVALUE(574)</f>
        <v>3268</v>
      </c>
      <c r="G75" s="13">
        <v>10823437</v>
      </c>
      <c r="H75" s="12">
        <f>_xlfn.COMPOUNDVALUE(575)</f>
        <v>256</v>
      </c>
      <c r="I75" s="14">
        <v>673235</v>
      </c>
      <c r="J75" s="12">
        <v>186</v>
      </c>
      <c r="K75" s="14">
        <v>-4780</v>
      </c>
      <c r="L75" s="12">
        <v>3569</v>
      </c>
      <c r="M75" s="14">
        <v>10145422</v>
      </c>
      <c r="N75" s="15" t="s">
        <v>84</v>
      </c>
    </row>
    <row r="76" spans="1:14" ht="15.75" customHeight="1">
      <c r="A76" s="11" t="s">
        <v>85</v>
      </c>
      <c r="B76" s="12">
        <f>_xlfn.COMPOUNDVALUE(576)</f>
        <v>856</v>
      </c>
      <c r="C76" s="13">
        <v>2937678</v>
      </c>
      <c r="D76" s="12">
        <f>_xlfn.COMPOUNDVALUE(577)</f>
        <v>287</v>
      </c>
      <c r="E76" s="13">
        <v>107149</v>
      </c>
      <c r="F76" s="12">
        <f>_xlfn.COMPOUNDVALUE(578)</f>
        <v>1143</v>
      </c>
      <c r="G76" s="13">
        <v>3044827</v>
      </c>
      <c r="H76" s="12">
        <f>_xlfn.COMPOUNDVALUE(579)</f>
        <v>51</v>
      </c>
      <c r="I76" s="14">
        <v>109788</v>
      </c>
      <c r="J76" s="12">
        <v>67</v>
      </c>
      <c r="K76" s="14">
        <v>23305</v>
      </c>
      <c r="L76" s="12">
        <v>1195</v>
      </c>
      <c r="M76" s="14">
        <v>2958344</v>
      </c>
      <c r="N76" s="15" t="s">
        <v>85</v>
      </c>
    </row>
    <row r="77" spans="1:14" ht="15.75" customHeight="1">
      <c r="A77" s="11" t="s">
        <v>86</v>
      </c>
      <c r="B77" s="12">
        <f>_xlfn.COMPOUNDVALUE(580)</f>
        <v>1175</v>
      </c>
      <c r="C77" s="13">
        <v>3662748</v>
      </c>
      <c r="D77" s="12">
        <f>_xlfn.COMPOUNDVALUE(581)</f>
        <v>330</v>
      </c>
      <c r="E77" s="13">
        <v>114415</v>
      </c>
      <c r="F77" s="12">
        <f>_xlfn.COMPOUNDVALUE(582)</f>
        <v>1505</v>
      </c>
      <c r="G77" s="13">
        <v>3777163</v>
      </c>
      <c r="H77" s="12">
        <f>_xlfn.COMPOUNDVALUE(583)</f>
        <v>36</v>
      </c>
      <c r="I77" s="14">
        <v>68426</v>
      </c>
      <c r="J77" s="12">
        <v>56</v>
      </c>
      <c r="K77" s="14">
        <v>21710</v>
      </c>
      <c r="L77" s="12">
        <v>1550</v>
      </c>
      <c r="M77" s="14">
        <v>3730446</v>
      </c>
      <c r="N77" s="15" t="s">
        <v>86</v>
      </c>
    </row>
    <row r="78" spans="1:14" ht="15.75" customHeight="1">
      <c r="A78" s="16" t="s">
        <v>87</v>
      </c>
      <c r="B78" s="17">
        <f>_xlfn.COMPOUNDVALUE(584)</f>
        <v>2860</v>
      </c>
      <c r="C78" s="18">
        <v>10983673</v>
      </c>
      <c r="D78" s="17">
        <f>_xlfn.COMPOUNDVALUE(585)</f>
        <v>952</v>
      </c>
      <c r="E78" s="18">
        <v>384734</v>
      </c>
      <c r="F78" s="17">
        <f>_xlfn.COMPOUNDVALUE(586)</f>
        <v>3812</v>
      </c>
      <c r="G78" s="18">
        <v>11368407</v>
      </c>
      <c r="H78" s="17">
        <f>_xlfn.COMPOUNDVALUE(587)</f>
        <v>191</v>
      </c>
      <c r="I78" s="19">
        <v>1573141</v>
      </c>
      <c r="J78" s="17">
        <v>181</v>
      </c>
      <c r="K78" s="19">
        <v>29517</v>
      </c>
      <c r="L78" s="17">
        <v>4029</v>
      </c>
      <c r="M78" s="19">
        <v>9824782</v>
      </c>
      <c r="N78" s="20" t="s">
        <v>87</v>
      </c>
    </row>
    <row r="79" spans="1:14" ht="15.75" customHeight="1">
      <c r="A79" s="16" t="s">
        <v>88</v>
      </c>
      <c r="B79" s="17">
        <f>_xlfn.COMPOUNDVALUE(588)</f>
        <v>1281</v>
      </c>
      <c r="C79" s="18">
        <v>4205502</v>
      </c>
      <c r="D79" s="17">
        <f>_xlfn.COMPOUNDVALUE(589)</f>
        <v>536</v>
      </c>
      <c r="E79" s="18">
        <v>202621</v>
      </c>
      <c r="F79" s="17">
        <f>_xlfn.COMPOUNDVALUE(590)</f>
        <v>1817</v>
      </c>
      <c r="G79" s="18">
        <v>4408123</v>
      </c>
      <c r="H79" s="17">
        <f>_xlfn.COMPOUNDVALUE(591)</f>
        <v>83</v>
      </c>
      <c r="I79" s="19">
        <v>518780</v>
      </c>
      <c r="J79" s="17">
        <v>80</v>
      </c>
      <c r="K79" s="19">
        <v>416</v>
      </c>
      <c r="L79" s="17">
        <v>1909</v>
      </c>
      <c r="M79" s="19">
        <v>3889758</v>
      </c>
      <c r="N79" s="20" t="s">
        <v>88</v>
      </c>
    </row>
    <row r="80" spans="1:14" ht="15.75" customHeight="1">
      <c r="A80" s="16" t="s">
        <v>89</v>
      </c>
      <c r="B80" s="17">
        <f>_xlfn.COMPOUNDVALUE(592)</f>
        <v>656</v>
      </c>
      <c r="C80" s="18">
        <v>2539813</v>
      </c>
      <c r="D80" s="17">
        <f>_xlfn.COMPOUNDVALUE(593)</f>
        <v>297</v>
      </c>
      <c r="E80" s="18">
        <v>101399</v>
      </c>
      <c r="F80" s="17">
        <f>_xlfn.COMPOUNDVALUE(594)</f>
        <v>953</v>
      </c>
      <c r="G80" s="18">
        <v>2641213</v>
      </c>
      <c r="H80" s="17">
        <f>_xlfn.COMPOUNDVALUE(595)</f>
        <v>42</v>
      </c>
      <c r="I80" s="19">
        <v>55271</v>
      </c>
      <c r="J80" s="17">
        <v>31</v>
      </c>
      <c r="K80" s="19">
        <v>2556</v>
      </c>
      <c r="L80" s="17">
        <v>1000</v>
      </c>
      <c r="M80" s="19">
        <v>2588498</v>
      </c>
      <c r="N80" s="20" t="s">
        <v>89</v>
      </c>
    </row>
    <row r="81" spans="1:14" ht="15.75" customHeight="1">
      <c r="A81" s="16" t="s">
        <v>90</v>
      </c>
      <c r="B81" s="17">
        <f>_xlfn.COMPOUNDVALUE(596)</f>
        <v>731</v>
      </c>
      <c r="C81" s="18">
        <v>2457620</v>
      </c>
      <c r="D81" s="17">
        <f>_xlfn.COMPOUNDVALUE(597)</f>
        <v>223</v>
      </c>
      <c r="E81" s="18">
        <v>75955</v>
      </c>
      <c r="F81" s="17">
        <f>_xlfn.COMPOUNDVALUE(598)</f>
        <v>954</v>
      </c>
      <c r="G81" s="18">
        <v>2533576</v>
      </c>
      <c r="H81" s="17">
        <f>_xlfn.COMPOUNDVALUE(599)</f>
        <v>121</v>
      </c>
      <c r="I81" s="19">
        <v>392746</v>
      </c>
      <c r="J81" s="17">
        <v>60</v>
      </c>
      <c r="K81" s="19">
        <v>-971</v>
      </c>
      <c r="L81" s="17">
        <v>1080</v>
      </c>
      <c r="M81" s="19">
        <v>2139858</v>
      </c>
      <c r="N81" s="20" t="s">
        <v>90</v>
      </c>
    </row>
    <row r="82" spans="1:14" ht="15.75" customHeight="1">
      <c r="A82" s="16" t="s">
        <v>91</v>
      </c>
      <c r="B82" s="17">
        <f>_xlfn.COMPOUNDVALUE(600)</f>
        <v>1262</v>
      </c>
      <c r="C82" s="18">
        <v>4890027</v>
      </c>
      <c r="D82" s="17">
        <f>_xlfn.COMPOUNDVALUE(601)</f>
        <v>445</v>
      </c>
      <c r="E82" s="18">
        <v>170853</v>
      </c>
      <c r="F82" s="17">
        <f>_xlfn.COMPOUNDVALUE(602)</f>
        <v>1707</v>
      </c>
      <c r="G82" s="18">
        <v>5060879</v>
      </c>
      <c r="H82" s="17">
        <f>_xlfn.COMPOUNDVALUE(603)</f>
        <v>93</v>
      </c>
      <c r="I82" s="19">
        <v>324250</v>
      </c>
      <c r="J82" s="17">
        <v>103</v>
      </c>
      <c r="K82" s="19">
        <v>11300</v>
      </c>
      <c r="L82" s="17">
        <v>1821</v>
      </c>
      <c r="M82" s="19">
        <v>4747929</v>
      </c>
      <c r="N82" s="20" t="s">
        <v>91</v>
      </c>
    </row>
    <row r="83" spans="1:14" ht="15.75" customHeight="1">
      <c r="A83" s="16" t="s">
        <v>92</v>
      </c>
      <c r="B83" s="17">
        <f>_xlfn.COMPOUNDVALUE(604)</f>
        <v>516</v>
      </c>
      <c r="C83" s="18">
        <v>1721483</v>
      </c>
      <c r="D83" s="17">
        <f>_xlfn.COMPOUNDVALUE(605)</f>
        <v>155</v>
      </c>
      <c r="E83" s="18">
        <v>63141</v>
      </c>
      <c r="F83" s="17">
        <f>_xlfn.COMPOUNDVALUE(606)</f>
        <v>671</v>
      </c>
      <c r="G83" s="18">
        <v>1784624</v>
      </c>
      <c r="H83" s="17">
        <f>_xlfn.COMPOUNDVALUE(607)</f>
        <v>21</v>
      </c>
      <c r="I83" s="19">
        <v>69607</v>
      </c>
      <c r="J83" s="17">
        <v>39</v>
      </c>
      <c r="K83" s="19">
        <v>2236</v>
      </c>
      <c r="L83" s="17">
        <v>698</v>
      </c>
      <c r="M83" s="19">
        <v>1717253</v>
      </c>
      <c r="N83" s="20" t="s">
        <v>92</v>
      </c>
    </row>
    <row r="84" spans="1:14" ht="15.75" customHeight="1">
      <c r="A84" s="16" t="s">
        <v>93</v>
      </c>
      <c r="B84" s="17">
        <f>_xlfn.COMPOUNDVALUE(580)</f>
        <v>895</v>
      </c>
      <c r="C84" s="18">
        <v>2916223</v>
      </c>
      <c r="D84" s="17">
        <f>_xlfn.COMPOUNDVALUE(608)</f>
        <v>320</v>
      </c>
      <c r="E84" s="18">
        <v>110255</v>
      </c>
      <c r="F84" s="17">
        <f>_xlfn.COMPOUNDVALUE(609)</f>
        <v>1215</v>
      </c>
      <c r="G84" s="18">
        <v>3026478</v>
      </c>
      <c r="H84" s="17">
        <f>_xlfn.COMPOUNDVALUE(610)</f>
        <v>32</v>
      </c>
      <c r="I84" s="19">
        <v>21074</v>
      </c>
      <c r="J84" s="17">
        <v>86</v>
      </c>
      <c r="K84" s="19">
        <v>13470</v>
      </c>
      <c r="L84" s="17">
        <v>1256</v>
      </c>
      <c r="M84" s="19">
        <v>3018874</v>
      </c>
      <c r="N84" s="20" t="s">
        <v>93</v>
      </c>
    </row>
    <row r="85" spans="1:14" ht="15.75" customHeight="1">
      <c r="A85" s="21" t="s">
        <v>115</v>
      </c>
      <c r="B85" s="22">
        <v>46648</v>
      </c>
      <c r="C85" s="23">
        <v>241138811</v>
      </c>
      <c r="D85" s="22">
        <v>16541</v>
      </c>
      <c r="E85" s="23">
        <v>6217004</v>
      </c>
      <c r="F85" s="22">
        <v>63189</v>
      </c>
      <c r="G85" s="23">
        <v>247355816</v>
      </c>
      <c r="H85" s="22">
        <v>5492</v>
      </c>
      <c r="I85" s="24">
        <v>41363763</v>
      </c>
      <c r="J85" s="22">
        <v>3900</v>
      </c>
      <c r="K85" s="24">
        <v>384144</v>
      </c>
      <c r="L85" s="22">
        <v>69284</v>
      </c>
      <c r="M85" s="24">
        <v>206376196</v>
      </c>
      <c r="N85" s="25" t="s">
        <v>134</v>
      </c>
    </row>
    <row r="86" spans="1:14" ht="15.75" customHeight="1">
      <c r="A86" s="35"/>
      <c r="B86" s="36"/>
      <c r="C86" s="37"/>
      <c r="D86" s="36"/>
      <c r="E86" s="37"/>
      <c r="F86" s="38"/>
      <c r="G86" s="37"/>
      <c r="H86" s="38"/>
      <c r="I86" s="37"/>
      <c r="J86" s="38"/>
      <c r="K86" s="37"/>
      <c r="L86" s="38"/>
      <c r="M86" s="37"/>
      <c r="N86" s="39"/>
    </row>
    <row r="87" spans="1:14" ht="15.75" customHeight="1">
      <c r="A87" s="16" t="s">
        <v>95</v>
      </c>
      <c r="B87" s="17">
        <f>_xlfn.COMPOUNDVALUE(611)</f>
        <v>4308</v>
      </c>
      <c r="C87" s="18">
        <v>17095416</v>
      </c>
      <c r="D87" s="17">
        <f>_xlfn.COMPOUNDVALUE(612)</f>
        <v>1674</v>
      </c>
      <c r="E87" s="18">
        <v>587070</v>
      </c>
      <c r="F87" s="17">
        <f>_xlfn.COMPOUNDVALUE(613)</f>
        <v>5982</v>
      </c>
      <c r="G87" s="18">
        <v>17682486</v>
      </c>
      <c r="H87" s="17">
        <f>_xlfn.COMPOUNDVALUE(614)</f>
        <v>460</v>
      </c>
      <c r="I87" s="19">
        <v>4737350</v>
      </c>
      <c r="J87" s="17">
        <v>395</v>
      </c>
      <c r="K87" s="19">
        <v>-166504</v>
      </c>
      <c r="L87" s="17">
        <v>6508</v>
      </c>
      <c r="M87" s="19">
        <v>12778631</v>
      </c>
      <c r="N87" s="20" t="s">
        <v>95</v>
      </c>
    </row>
    <row r="88" spans="1:14" ht="15.75" customHeight="1">
      <c r="A88" s="16" t="s">
        <v>96</v>
      </c>
      <c r="B88" s="17">
        <f>_xlfn.COMPOUNDVALUE(615)</f>
        <v>3140</v>
      </c>
      <c r="C88" s="18">
        <v>10006578</v>
      </c>
      <c r="D88" s="17">
        <f>_xlfn.COMPOUNDVALUE(616)</f>
        <v>992</v>
      </c>
      <c r="E88" s="18">
        <v>360377</v>
      </c>
      <c r="F88" s="17">
        <f>_xlfn.COMPOUNDVALUE(617)</f>
        <v>4132</v>
      </c>
      <c r="G88" s="18">
        <v>10366954</v>
      </c>
      <c r="H88" s="17">
        <f>_xlfn.COMPOUNDVALUE(618)</f>
        <v>269</v>
      </c>
      <c r="I88" s="19">
        <v>669045</v>
      </c>
      <c r="J88" s="17">
        <v>271</v>
      </c>
      <c r="K88" s="19">
        <v>122879</v>
      </c>
      <c r="L88" s="17">
        <v>4429</v>
      </c>
      <c r="M88" s="19">
        <v>9820788</v>
      </c>
      <c r="N88" s="20" t="s">
        <v>96</v>
      </c>
    </row>
    <row r="89" spans="1:14" ht="15.75" customHeight="1">
      <c r="A89" s="16" t="s">
        <v>97</v>
      </c>
      <c r="B89" s="17">
        <f>_xlfn.COMPOUNDVALUE(619)</f>
        <v>1050</v>
      </c>
      <c r="C89" s="18">
        <v>3635615</v>
      </c>
      <c r="D89" s="17">
        <f>_xlfn.COMPOUNDVALUE(620)</f>
        <v>259</v>
      </c>
      <c r="E89" s="18">
        <v>98077</v>
      </c>
      <c r="F89" s="17">
        <f>_xlfn.COMPOUNDVALUE(621)</f>
        <v>1309</v>
      </c>
      <c r="G89" s="18">
        <v>3733692</v>
      </c>
      <c r="H89" s="17">
        <f>_xlfn.COMPOUNDVALUE(622)</f>
        <v>49</v>
      </c>
      <c r="I89" s="19">
        <v>131869</v>
      </c>
      <c r="J89" s="17">
        <v>119</v>
      </c>
      <c r="K89" s="19">
        <v>16291</v>
      </c>
      <c r="L89" s="17">
        <v>1369</v>
      </c>
      <c r="M89" s="19">
        <v>3618113</v>
      </c>
      <c r="N89" s="20" t="s">
        <v>97</v>
      </c>
    </row>
    <row r="90" spans="1:14" ht="15.75" customHeight="1">
      <c r="A90" s="16" t="s">
        <v>98</v>
      </c>
      <c r="B90" s="17">
        <f>_xlfn.COMPOUNDVALUE(623)</f>
        <v>467</v>
      </c>
      <c r="C90" s="18">
        <v>1133371</v>
      </c>
      <c r="D90" s="17">
        <f>_xlfn.COMPOUNDVALUE(624)</f>
        <v>113</v>
      </c>
      <c r="E90" s="18">
        <v>34831</v>
      </c>
      <c r="F90" s="17">
        <f>_xlfn.COMPOUNDVALUE(625)</f>
        <v>580</v>
      </c>
      <c r="G90" s="18">
        <v>1168202</v>
      </c>
      <c r="H90" s="17">
        <f>_xlfn.COMPOUNDVALUE(626)</f>
        <v>31</v>
      </c>
      <c r="I90" s="19">
        <v>53482</v>
      </c>
      <c r="J90" s="17">
        <v>32</v>
      </c>
      <c r="K90" s="19">
        <v>3619</v>
      </c>
      <c r="L90" s="17">
        <v>613</v>
      </c>
      <c r="M90" s="19">
        <v>1118339</v>
      </c>
      <c r="N90" s="20" t="s">
        <v>98</v>
      </c>
    </row>
    <row r="91" spans="1:14" ht="15.75" customHeight="1">
      <c r="A91" s="21" t="s">
        <v>116</v>
      </c>
      <c r="B91" s="22">
        <v>8965</v>
      </c>
      <c r="C91" s="23">
        <v>31870979</v>
      </c>
      <c r="D91" s="22">
        <v>3038</v>
      </c>
      <c r="E91" s="23">
        <v>1080354</v>
      </c>
      <c r="F91" s="22">
        <v>12003</v>
      </c>
      <c r="G91" s="23">
        <v>32951333</v>
      </c>
      <c r="H91" s="22">
        <v>809</v>
      </c>
      <c r="I91" s="24">
        <v>5591747</v>
      </c>
      <c r="J91" s="22">
        <v>817</v>
      </c>
      <c r="K91" s="24">
        <v>-23715</v>
      </c>
      <c r="L91" s="22">
        <v>12919</v>
      </c>
      <c r="M91" s="24">
        <v>27335871</v>
      </c>
      <c r="N91" s="25" t="s">
        <v>135</v>
      </c>
    </row>
    <row r="92" spans="1:14" ht="15.75" customHeight="1">
      <c r="A92" s="35"/>
      <c r="B92" s="36"/>
      <c r="C92" s="37"/>
      <c r="D92" s="36"/>
      <c r="E92" s="37"/>
      <c r="F92" s="38"/>
      <c r="G92" s="37"/>
      <c r="H92" s="38"/>
      <c r="I92" s="37"/>
      <c r="J92" s="38"/>
      <c r="K92" s="37"/>
      <c r="L92" s="38"/>
      <c r="M92" s="37"/>
      <c r="N92" s="39"/>
    </row>
    <row r="93" spans="1:14" ht="15.75" customHeight="1">
      <c r="A93" s="11" t="s">
        <v>100</v>
      </c>
      <c r="B93" s="12">
        <f>_xlfn.COMPOUNDVALUE(627)</f>
        <v>3666</v>
      </c>
      <c r="C93" s="13">
        <v>16294895</v>
      </c>
      <c r="D93" s="12">
        <f>_xlfn.COMPOUNDVALUE(628)</f>
        <v>1326</v>
      </c>
      <c r="E93" s="13">
        <v>495319</v>
      </c>
      <c r="F93" s="12">
        <f>_xlfn.COMPOUNDVALUE(629)</f>
        <v>4992</v>
      </c>
      <c r="G93" s="13">
        <v>16790215</v>
      </c>
      <c r="H93" s="12">
        <f>_xlfn.COMPOUNDVALUE(630)</f>
        <v>184</v>
      </c>
      <c r="I93" s="14">
        <v>1843140</v>
      </c>
      <c r="J93" s="12">
        <v>277</v>
      </c>
      <c r="K93" s="14">
        <v>71744</v>
      </c>
      <c r="L93" s="12">
        <v>5193</v>
      </c>
      <c r="M93" s="14">
        <v>15018818</v>
      </c>
      <c r="N93" s="40" t="s">
        <v>100</v>
      </c>
    </row>
    <row r="94" spans="1:14" ht="15.75" customHeight="1">
      <c r="A94" s="16" t="s">
        <v>101</v>
      </c>
      <c r="B94" s="17">
        <f>_xlfn.COMPOUNDVALUE(631)</f>
        <v>626</v>
      </c>
      <c r="C94" s="18">
        <v>2631495</v>
      </c>
      <c r="D94" s="17">
        <f>_xlfn.COMPOUNDVALUE(632)</f>
        <v>179</v>
      </c>
      <c r="E94" s="18">
        <v>63736</v>
      </c>
      <c r="F94" s="17">
        <f>_xlfn.COMPOUNDVALUE(633)</f>
        <v>805</v>
      </c>
      <c r="G94" s="18">
        <v>2695230</v>
      </c>
      <c r="H94" s="17">
        <f>_xlfn.COMPOUNDVALUE(634)</f>
        <v>26</v>
      </c>
      <c r="I94" s="19">
        <v>56473</v>
      </c>
      <c r="J94" s="17">
        <v>55</v>
      </c>
      <c r="K94" s="19">
        <v>8173</v>
      </c>
      <c r="L94" s="17">
        <v>838</v>
      </c>
      <c r="M94" s="19">
        <v>2646930</v>
      </c>
      <c r="N94" s="20" t="s">
        <v>101</v>
      </c>
    </row>
    <row r="95" spans="1:14" ht="15.75" customHeight="1">
      <c r="A95" s="16" t="s">
        <v>102</v>
      </c>
      <c r="B95" s="17">
        <f>_xlfn.COMPOUNDVALUE(635)</f>
        <v>665</v>
      </c>
      <c r="C95" s="18">
        <v>1711025</v>
      </c>
      <c r="D95" s="17">
        <f>_xlfn.COMPOUNDVALUE(636)</f>
        <v>192</v>
      </c>
      <c r="E95" s="18">
        <v>72474</v>
      </c>
      <c r="F95" s="17">
        <f>_xlfn.COMPOUNDVALUE(637)</f>
        <v>857</v>
      </c>
      <c r="G95" s="18">
        <v>1783499</v>
      </c>
      <c r="H95" s="17">
        <f>_xlfn.COMPOUNDVALUE(638)</f>
        <v>33</v>
      </c>
      <c r="I95" s="19">
        <v>45990</v>
      </c>
      <c r="J95" s="17">
        <v>39</v>
      </c>
      <c r="K95" s="19">
        <v>3576</v>
      </c>
      <c r="L95" s="17">
        <v>894</v>
      </c>
      <c r="M95" s="19">
        <v>1741086</v>
      </c>
      <c r="N95" s="20" t="s">
        <v>102</v>
      </c>
    </row>
    <row r="96" spans="1:14" ht="15.75" customHeight="1">
      <c r="A96" s="16" t="s">
        <v>103</v>
      </c>
      <c r="B96" s="17">
        <f>_xlfn.COMPOUNDVALUE(639)</f>
        <v>991</v>
      </c>
      <c r="C96" s="18">
        <v>2897394</v>
      </c>
      <c r="D96" s="17">
        <f>_xlfn.COMPOUNDVALUE(640)</f>
        <v>412</v>
      </c>
      <c r="E96" s="18">
        <v>170145</v>
      </c>
      <c r="F96" s="17">
        <f>_xlfn.COMPOUNDVALUE(641)</f>
        <v>1403</v>
      </c>
      <c r="G96" s="18">
        <v>3067539</v>
      </c>
      <c r="H96" s="17">
        <f>_xlfn.COMPOUNDVALUE(642)</f>
        <v>41</v>
      </c>
      <c r="I96" s="19">
        <v>35757</v>
      </c>
      <c r="J96" s="17">
        <v>53</v>
      </c>
      <c r="K96" s="19">
        <v>10153</v>
      </c>
      <c r="L96" s="17">
        <v>1454</v>
      </c>
      <c r="M96" s="19">
        <v>3041936</v>
      </c>
      <c r="N96" s="20" t="s">
        <v>103</v>
      </c>
    </row>
    <row r="97" spans="1:14" ht="15.75" customHeight="1">
      <c r="A97" s="16" t="s">
        <v>104</v>
      </c>
      <c r="B97" s="17">
        <f>_xlfn.COMPOUNDVALUE(643)</f>
        <v>561</v>
      </c>
      <c r="C97" s="18">
        <v>1302612</v>
      </c>
      <c r="D97" s="17">
        <f>_xlfn.COMPOUNDVALUE(644)</f>
        <v>186</v>
      </c>
      <c r="E97" s="18">
        <v>64820</v>
      </c>
      <c r="F97" s="17">
        <f>_xlfn.COMPOUNDVALUE(645)</f>
        <v>747</v>
      </c>
      <c r="G97" s="18">
        <v>1367432</v>
      </c>
      <c r="H97" s="17">
        <f>_xlfn.COMPOUNDVALUE(646)</f>
        <v>25</v>
      </c>
      <c r="I97" s="19">
        <v>68869</v>
      </c>
      <c r="J97" s="17">
        <v>104</v>
      </c>
      <c r="K97" s="19">
        <v>30466</v>
      </c>
      <c r="L97" s="17">
        <v>795</v>
      </c>
      <c r="M97" s="19">
        <v>1329029</v>
      </c>
      <c r="N97" s="20" t="s">
        <v>104</v>
      </c>
    </row>
    <row r="98" spans="1:14" ht="15.75" customHeight="1">
      <c r="A98" s="16" t="s">
        <v>105</v>
      </c>
      <c r="B98" s="17">
        <f>_xlfn.COMPOUNDVALUE(647)</f>
        <v>1198</v>
      </c>
      <c r="C98" s="18">
        <v>3307325</v>
      </c>
      <c r="D98" s="17">
        <f>_xlfn.COMPOUNDVALUE(648)</f>
        <v>376</v>
      </c>
      <c r="E98" s="18">
        <v>135647</v>
      </c>
      <c r="F98" s="17">
        <f>_xlfn.COMPOUNDVALUE(649)</f>
        <v>1574</v>
      </c>
      <c r="G98" s="18">
        <v>3442972</v>
      </c>
      <c r="H98" s="17">
        <f>_xlfn.COMPOUNDVALUE(650)</f>
        <v>69</v>
      </c>
      <c r="I98" s="19">
        <v>127803</v>
      </c>
      <c r="J98" s="17">
        <v>86</v>
      </c>
      <c r="K98" s="19">
        <v>-3162</v>
      </c>
      <c r="L98" s="17">
        <v>1653</v>
      </c>
      <c r="M98" s="19">
        <v>3312008</v>
      </c>
      <c r="N98" s="20" t="s">
        <v>105</v>
      </c>
    </row>
    <row r="99" spans="1:14" ht="15.75" customHeight="1">
      <c r="A99" s="16" t="s">
        <v>106</v>
      </c>
      <c r="B99" s="17">
        <f>_xlfn.COMPOUNDVALUE(651)</f>
        <v>576</v>
      </c>
      <c r="C99" s="18">
        <v>2136551</v>
      </c>
      <c r="D99" s="17">
        <f>_xlfn.COMPOUNDVALUE(652)</f>
        <v>176</v>
      </c>
      <c r="E99" s="18">
        <v>73685</v>
      </c>
      <c r="F99" s="17">
        <f>_xlfn.COMPOUNDVALUE(653)</f>
        <v>752</v>
      </c>
      <c r="G99" s="18">
        <v>2210236</v>
      </c>
      <c r="H99" s="17">
        <f>_xlfn.COMPOUNDVALUE(654)</f>
        <v>20</v>
      </c>
      <c r="I99" s="19">
        <v>46925</v>
      </c>
      <c r="J99" s="17">
        <v>78</v>
      </c>
      <c r="K99" s="19">
        <v>32685</v>
      </c>
      <c r="L99" s="17">
        <v>774</v>
      </c>
      <c r="M99" s="19">
        <v>2195996</v>
      </c>
      <c r="N99" s="20" t="s">
        <v>106</v>
      </c>
    </row>
    <row r="100" spans="1:14" ht="15.75" customHeight="1">
      <c r="A100" s="21" t="s">
        <v>117</v>
      </c>
      <c r="B100" s="22">
        <v>8283</v>
      </c>
      <c r="C100" s="23">
        <v>30281297</v>
      </c>
      <c r="D100" s="22">
        <v>2847</v>
      </c>
      <c r="E100" s="23">
        <v>1075826</v>
      </c>
      <c r="F100" s="22">
        <v>11130</v>
      </c>
      <c r="G100" s="23">
        <v>31357123</v>
      </c>
      <c r="H100" s="22">
        <v>398</v>
      </c>
      <c r="I100" s="24">
        <v>2224957</v>
      </c>
      <c r="J100" s="22">
        <v>692</v>
      </c>
      <c r="K100" s="24">
        <v>153636</v>
      </c>
      <c r="L100" s="22">
        <v>11601</v>
      </c>
      <c r="M100" s="24">
        <v>29285802</v>
      </c>
      <c r="N100" s="25" t="s">
        <v>136</v>
      </c>
    </row>
    <row r="101" spans="1:14" ht="15.75" customHeight="1" thickBot="1">
      <c r="A101" s="27"/>
      <c r="B101" s="75"/>
      <c r="C101" s="74"/>
      <c r="D101" s="75"/>
      <c r="E101" s="74"/>
      <c r="F101" s="73"/>
      <c r="G101" s="74"/>
      <c r="H101" s="73"/>
      <c r="I101" s="74"/>
      <c r="J101" s="73"/>
      <c r="K101" s="74"/>
      <c r="L101" s="73"/>
      <c r="M101" s="74"/>
      <c r="N101" s="28"/>
    </row>
    <row r="102" spans="1:14" ht="15.75" customHeight="1" thickBot="1" thickTop="1">
      <c r="A102" s="30" t="s">
        <v>111</v>
      </c>
      <c r="B102" s="31">
        <v>213375</v>
      </c>
      <c r="C102" s="32">
        <v>1298187629</v>
      </c>
      <c r="D102" s="31">
        <v>71518</v>
      </c>
      <c r="E102" s="32">
        <v>26852815</v>
      </c>
      <c r="F102" s="31">
        <v>284893</v>
      </c>
      <c r="G102" s="32">
        <v>1325040445</v>
      </c>
      <c r="H102" s="31">
        <v>22120</v>
      </c>
      <c r="I102" s="33">
        <v>290601699</v>
      </c>
      <c r="J102" s="31">
        <v>17509</v>
      </c>
      <c r="K102" s="33">
        <v>1674805</v>
      </c>
      <c r="L102" s="31">
        <v>309458</v>
      </c>
      <c r="M102" s="33">
        <v>1036113551</v>
      </c>
      <c r="N102" s="34" t="s">
        <v>129</v>
      </c>
    </row>
    <row r="103" spans="1:14" ht="13.5">
      <c r="A103" s="195" t="s">
        <v>137</v>
      </c>
      <c r="B103" s="195"/>
      <c r="C103" s="195"/>
      <c r="D103" s="195"/>
      <c r="E103" s="195"/>
      <c r="F103" s="195"/>
      <c r="G103" s="195"/>
      <c r="H103" s="195"/>
      <c r="I103" s="195"/>
      <c r="J103" s="42"/>
      <c r="K103" s="42"/>
      <c r="L103" s="2"/>
      <c r="M103" s="2"/>
      <c r="N103" s="2"/>
    </row>
  </sheetData>
  <sheetProtection/>
  <mergeCells count="11">
    <mergeCell ref="L3:M4"/>
    <mergeCell ref="A103:I103"/>
    <mergeCell ref="A2:I2"/>
    <mergeCell ref="A3:A5"/>
    <mergeCell ref="B3:G3"/>
    <mergeCell ref="H3:I4"/>
    <mergeCell ref="N3:N5"/>
    <mergeCell ref="B4:C4"/>
    <mergeCell ref="D4:E4"/>
    <mergeCell ref="F4:G4"/>
    <mergeCell ref="J3:K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79" r:id="rId1"/>
  <headerFooter alignWithMargins="0">
    <oddFooter>&amp;R大阪国税局
消費税
(H24)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103"/>
  <sheetViews>
    <sheetView zoomScaleSheetLayoutView="85" zoomScalePageLayoutView="0" workbookViewId="0" topLeftCell="A1">
      <selection activeCell="F18" sqref="F18"/>
    </sheetView>
  </sheetViews>
  <sheetFormatPr defaultColWidth="9.140625" defaultRowHeight="15"/>
  <cols>
    <col min="1" max="1" width="10.421875" style="3" customWidth="1"/>
    <col min="2" max="2" width="9.57421875" style="3" customWidth="1"/>
    <col min="3" max="3" width="12.57421875" style="3" customWidth="1"/>
    <col min="4" max="4" width="9.57421875" style="3" customWidth="1"/>
    <col min="5" max="5" width="12.57421875" style="3" customWidth="1"/>
    <col min="6" max="6" width="9.57421875" style="3" customWidth="1"/>
    <col min="7" max="7" width="12.57421875" style="3" customWidth="1"/>
    <col min="8" max="8" width="9.57421875" style="3" customWidth="1"/>
    <col min="9" max="9" width="12.57421875" style="3" customWidth="1"/>
    <col min="10" max="10" width="9.57421875" style="3" customWidth="1"/>
    <col min="11" max="11" width="12.57421875" style="3" customWidth="1"/>
    <col min="12" max="12" width="9.57421875" style="3" customWidth="1"/>
    <col min="13" max="13" width="12.57421875" style="3" customWidth="1"/>
    <col min="14" max="17" width="9.57421875" style="3" customWidth="1"/>
    <col min="18" max="18" width="10.421875" style="3" customWidth="1"/>
    <col min="19" max="16384" width="9.00390625" style="3" customWidth="1"/>
  </cols>
  <sheetData>
    <row r="1" spans="1:16" ht="13.5">
      <c r="A1" s="1" t="s">
        <v>108</v>
      </c>
      <c r="B1" s="1"/>
      <c r="C1" s="1"/>
      <c r="D1" s="1"/>
      <c r="E1" s="1"/>
      <c r="F1" s="1"/>
      <c r="G1" s="1"/>
      <c r="H1" s="1"/>
      <c r="I1" s="1"/>
      <c r="J1" s="1"/>
      <c r="K1" s="1"/>
      <c r="L1" s="2"/>
      <c r="M1" s="2"/>
      <c r="N1" s="2"/>
      <c r="O1" s="2"/>
      <c r="P1" s="2"/>
    </row>
    <row r="2" spans="1:16" ht="14.25" thickBot="1">
      <c r="A2" s="211" t="s">
        <v>118</v>
      </c>
      <c r="B2" s="211"/>
      <c r="C2" s="211"/>
      <c r="D2" s="211"/>
      <c r="E2" s="211"/>
      <c r="F2" s="211"/>
      <c r="G2" s="211"/>
      <c r="H2" s="211"/>
      <c r="I2" s="211"/>
      <c r="J2" s="42"/>
      <c r="K2" s="42"/>
      <c r="L2" s="2"/>
      <c r="M2" s="2"/>
      <c r="N2" s="2"/>
      <c r="O2" s="2"/>
      <c r="P2" s="2"/>
    </row>
    <row r="3" spans="1:18" ht="19.5" customHeight="1">
      <c r="A3" s="197" t="s">
        <v>2</v>
      </c>
      <c r="B3" s="200" t="s">
        <v>3</v>
      </c>
      <c r="C3" s="200"/>
      <c r="D3" s="200"/>
      <c r="E3" s="200"/>
      <c r="F3" s="200"/>
      <c r="G3" s="200"/>
      <c r="H3" s="200" t="s">
        <v>4</v>
      </c>
      <c r="I3" s="200"/>
      <c r="J3" s="217" t="s">
        <v>5</v>
      </c>
      <c r="K3" s="200"/>
      <c r="L3" s="200" t="s">
        <v>6</v>
      </c>
      <c r="M3" s="200"/>
      <c r="N3" s="218" t="s">
        <v>119</v>
      </c>
      <c r="O3" s="219"/>
      <c r="P3" s="219"/>
      <c r="Q3" s="219"/>
      <c r="R3" s="205" t="s">
        <v>110</v>
      </c>
    </row>
    <row r="4" spans="1:18" ht="17.25" customHeight="1">
      <c r="A4" s="198"/>
      <c r="B4" s="208" t="s">
        <v>8</v>
      </c>
      <c r="C4" s="208"/>
      <c r="D4" s="208" t="s">
        <v>9</v>
      </c>
      <c r="E4" s="208"/>
      <c r="F4" s="208" t="s">
        <v>10</v>
      </c>
      <c r="G4" s="208"/>
      <c r="H4" s="208"/>
      <c r="I4" s="208"/>
      <c r="J4" s="208"/>
      <c r="K4" s="208"/>
      <c r="L4" s="208"/>
      <c r="M4" s="208"/>
      <c r="N4" s="220" t="s">
        <v>120</v>
      </c>
      <c r="O4" s="212" t="s">
        <v>121</v>
      </c>
      <c r="P4" s="214" t="s">
        <v>122</v>
      </c>
      <c r="Q4" s="204" t="s">
        <v>123</v>
      </c>
      <c r="R4" s="206"/>
    </row>
    <row r="5" spans="1:18" ht="28.5" customHeight="1">
      <c r="A5" s="199"/>
      <c r="B5" s="70" t="s">
        <v>11</v>
      </c>
      <c r="C5" s="71" t="s">
        <v>12</v>
      </c>
      <c r="D5" s="70" t="s">
        <v>11</v>
      </c>
      <c r="E5" s="71" t="s">
        <v>12</v>
      </c>
      <c r="F5" s="70" t="s">
        <v>11</v>
      </c>
      <c r="G5" s="71" t="s">
        <v>13</v>
      </c>
      <c r="H5" s="70" t="s">
        <v>11</v>
      </c>
      <c r="I5" s="71" t="s">
        <v>14</v>
      </c>
      <c r="J5" s="70" t="s">
        <v>11</v>
      </c>
      <c r="K5" s="71" t="s">
        <v>15</v>
      </c>
      <c r="L5" s="70" t="s">
        <v>11</v>
      </c>
      <c r="M5" s="46" t="s">
        <v>128</v>
      </c>
      <c r="N5" s="221"/>
      <c r="O5" s="213"/>
      <c r="P5" s="215"/>
      <c r="Q5" s="216"/>
      <c r="R5" s="207"/>
    </row>
    <row r="6" spans="1:18" s="44" customFormat="1" ht="12" customHeight="1">
      <c r="A6" s="5"/>
      <c r="B6" s="6" t="s">
        <v>16</v>
      </c>
      <c r="C6" s="7" t="s">
        <v>17</v>
      </c>
      <c r="D6" s="6" t="s">
        <v>16</v>
      </c>
      <c r="E6" s="7" t="s">
        <v>17</v>
      </c>
      <c r="F6" s="6" t="s">
        <v>16</v>
      </c>
      <c r="G6" s="7" t="s">
        <v>17</v>
      </c>
      <c r="H6" s="6" t="s">
        <v>16</v>
      </c>
      <c r="I6" s="7" t="s">
        <v>17</v>
      </c>
      <c r="J6" s="6" t="s">
        <v>16</v>
      </c>
      <c r="K6" s="7" t="s">
        <v>17</v>
      </c>
      <c r="L6" s="6" t="s">
        <v>16</v>
      </c>
      <c r="M6" s="7" t="s">
        <v>17</v>
      </c>
      <c r="N6" s="6" t="s">
        <v>16</v>
      </c>
      <c r="O6" s="47" t="s">
        <v>16</v>
      </c>
      <c r="P6" s="47" t="s">
        <v>16</v>
      </c>
      <c r="Q6" s="48" t="s">
        <v>16</v>
      </c>
      <c r="R6" s="9"/>
    </row>
    <row r="7" spans="1:18" ht="18.75" customHeight="1">
      <c r="A7" s="11" t="s">
        <v>19</v>
      </c>
      <c r="B7" s="12">
        <f>_xlfn.COMPOUNDVALUE(655)</f>
        <v>3431</v>
      </c>
      <c r="C7" s="13">
        <v>10729170</v>
      </c>
      <c r="D7" s="12">
        <f>_xlfn.COMPOUNDVALUE(656)</f>
        <v>2220</v>
      </c>
      <c r="E7" s="13">
        <v>666054</v>
      </c>
      <c r="F7" s="12">
        <f>_xlfn.COMPOUNDVALUE(657)</f>
        <v>5651</v>
      </c>
      <c r="G7" s="13">
        <v>11395224</v>
      </c>
      <c r="H7" s="12">
        <f>_xlfn.COMPOUNDVALUE(658)</f>
        <v>207</v>
      </c>
      <c r="I7" s="14">
        <v>5007443</v>
      </c>
      <c r="J7" s="12">
        <v>365</v>
      </c>
      <c r="K7" s="14">
        <v>82323</v>
      </c>
      <c r="L7" s="12">
        <v>5972</v>
      </c>
      <c r="M7" s="14">
        <v>6470104</v>
      </c>
      <c r="N7" s="12">
        <v>6085</v>
      </c>
      <c r="O7" s="49">
        <v>137</v>
      </c>
      <c r="P7" s="49">
        <v>15</v>
      </c>
      <c r="Q7" s="79">
        <v>6237</v>
      </c>
      <c r="R7" s="15" t="s">
        <v>19</v>
      </c>
    </row>
    <row r="8" spans="1:18" ht="18.75" customHeight="1">
      <c r="A8" s="16" t="s">
        <v>20</v>
      </c>
      <c r="B8" s="17">
        <f>_xlfn.COMPOUNDVALUE(659)</f>
        <v>1839</v>
      </c>
      <c r="C8" s="18">
        <v>7867456</v>
      </c>
      <c r="D8" s="17">
        <f>_xlfn.COMPOUNDVALUE(660)</f>
        <v>1250</v>
      </c>
      <c r="E8" s="18">
        <v>389804</v>
      </c>
      <c r="F8" s="17">
        <f>_xlfn.COMPOUNDVALUE(661)</f>
        <v>3089</v>
      </c>
      <c r="G8" s="18">
        <v>8257260</v>
      </c>
      <c r="H8" s="17">
        <f>_xlfn.COMPOUNDVALUE(662)</f>
        <v>121</v>
      </c>
      <c r="I8" s="19">
        <v>1003996</v>
      </c>
      <c r="J8" s="17">
        <v>182</v>
      </c>
      <c r="K8" s="19">
        <v>-24051</v>
      </c>
      <c r="L8" s="17">
        <v>3242</v>
      </c>
      <c r="M8" s="19">
        <v>7229213</v>
      </c>
      <c r="N8" s="17">
        <v>3260</v>
      </c>
      <c r="O8" s="68">
        <v>70</v>
      </c>
      <c r="P8" s="68">
        <v>3</v>
      </c>
      <c r="Q8" s="69">
        <v>3333</v>
      </c>
      <c r="R8" s="20" t="s">
        <v>20</v>
      </c>
    </row>
    <row r="9" spans="1:18" ht="18.75" customHeight="1">
      <c r="A9" s="16" t="s">
        <v>21</v>
      </c>
      <c r="B9" s="17">
        <f>_xlfn.COMPOUNDVALUE(663)</f>
        <v>2168</v>
      </c>
      <c r="C9" s="18">
        <v>5586572</v>
      </c>
      <c r="D9" s="17">
        <f>_xlfn.COMPOUNDVALUE(664)</f>
        <v>1265</v>
      </c>
      <c r="E9" s="18">
        <v>359594</v>
      </c>
      <c r="F9" s="17">
        <f>_xlfn.COMPOUNDVALUE(665)</f>
        <v>3433</v>
      </c>
      <c r="G9" s="18">
        <v>5946166</v>
      </c>
      <c r="H9" s="17">
        <f>_xlfn.COMPOUNDVALUE(666)</f>
        <v>106</v>
      </c>
      <c r="I9" s="19">
        <v>99800</v>
      </c>
      <c r="J9" s="17">
        <v>201</v>
      </c>
      <c r="K9" s="19">
        <v>37347</v>
      </c>
      <c r="L9" s="17">
        <v>3577</v>
      </c>
      <c r="M9" s="19">
        <v>5883713</v>
      </c>
      <c r="N9" s="17">
        <v>3719</v>
      </c>
      <c r="O9" s="68">
        <v>84</v>
      </c>
      <c r="P9" s="68">
        <v>11</v>
      </c>
      <c r="Q9" s="69">
        <v>3814</v>
      </c>
      <c r="R9" s="20" t="s">
        <v>21</v>
      </c>
    </row>
    <row r="10" spans="1:18" ht="18.75" customHeight="1">
      <c r="A10" s="16" t="s">
        <v>22</v>
      </c>
      <c r="B10" s="17">
        <f>_xlfn.COMPOUNDVALUE(667)</f>
        <v>2658</v>
      </c>
      <c r="C10" s="18">
        <v>5919061</v>
      </c>
      <c r="D10" s="17">
        <f>_xlfn.COMPOUNDVALUE(668)</f>
        <v>1887</v>
      </c>
      <c r="E10" s="18">
        <v>535803</v>
      </c>
      <c r="F10" s="17">
        <f>_xlfn.COMPOUNDVALUE(669)</f>
        <v>4545</v>
      </c>
      <c r="G10" s="18">
        <v>6454864</v>
      </c>
      <c r="H10" s="17">
        <f>_xlfn.COMPOUNDVALUE(670)</f>
        <v>169</v>
      </c>
      <c r="I10" s="19">
        <v>289148</v>
      </c>
      <c r="J10" s="17">
        <v>176</v>
      </c>
      <c r="K10" s="19">
        <v>48287</v>
      </c>
      <c r="L10" s="17">
        <v>4759</v>
      </c>
      <c r="M10" s="19">
        <v>6214003</v>
      </c>
      <c r="N10" s="17">
        <v>4787</v>
      </c>
      <c r="O10" s="68">
        <v>112</v>
      </c>
      <c r="P10" s="68">
        <v>6</v>
      </c>
      <c r="Q10" s="69">
        <v>4905</v>
      </c>
      <c r="R10" s="20" t="s">
        <v>22</v>
      </c>
    </row>
    <row r="11" spans="1:18" ht="18.75" customHeight="1">
      <c r="A11" s="16" t="s">
        <v>23</v>
      </c>
      <c r="B11" s="17">
        <f>_xlfn.COMPOUNDVALUE(671)</f>
        <v>3459</v>
      </c>
      <c r="C11" s="18">
        <v>10274398</v>
      </c>
      <c r="D11" s="17">
        <f>_xlfn.COMPOUNDVALUE(672)</f>
        <v>2274</v>
      </c>
      <c r="E11" s="18">
        <v>752359</v>
      </c>
      <c r="F11" s="17">
        <f>_xlfn.COMPOUNDVALUE(673)</f>
        <v>5733</v>
      </c>
      <c r="G11" s="18">
        <v>11026757</v>
      </c>
      <c r="H11" s="17">
        <f>_xlfn.COMPOUNDVALUE(674)</f>
        <v>232</v>
      </c>
      <c r="I11" s="19">
        <v>916961</v>
      </c>
      <c r="J11" s="17">
        <v>311</v>
      </c>
      <c r="K11" s="19">
        <v>55565</v>
      </c>
      <c r="L11" s="17">
        <v>6068</v>
      </c>
      <c r="M11" s="19">
        <v>10165361</v>
      </c>
      <c r="N11" s="17">
        <v>6320</v>
      </c>
      <c r="O11" s="68">
        <v>102</v>
      </c>
      <c r="P11" s="68">
        <v>17</v>
      </c>
      <c r="Q11" s="69">
        <v>6439</v>
      </c>
      <c r="R11" s="20" t="s">
        <v>23</v>
      </c>
    </row>
    <row r="12" spans="1:18" ht="18.75" customHeight="1">
      <c r="A12" s="16" t="s">
        <v>24</v>
      </c>
      <c r="B12" s="17">
        <f>_xlfn.COMPOUNDVALUE(675)</f>
        <v>1710</v>
      </c>
      <c r="C12" s="18">
        <v>6195300</v>
      </c>
      <c r="D12" s="17">
        <f>_xlfn.COMPOUNDVALUE(676)</f>
        <v>1085</v>
      </c>
      <c r="E12" s="18">
        <v>309172</v>
      </c>
      <c r="F12" s="17">
        <f>_xlfn.COMPOUNDVALUE(677)</f>
        <v>2795</v>
      </c>
      <c r="G12" s="18">
        <v>6504472</v>
      </c>
      <c r="H12" s="17">
        <f>_xlfn.COMPOUNDVALUE(678)</f>
        <v>85</v>
      </c>
      <c r="I12" s="19">
        <v>191241</v>
      </c>
      <c r="J12" s="17">
        <v>147</v>
      </c>
      <c r="K12" s="19">
        <v>7275</v>
      </c>
      <c r="L12" s="17">
        <v>2915</v>
      </c>
      <c r="M12" s="19">
        <v>6320505</v>
      </c>
      <c r="N12" s="17">
        <v>3038</v>
      </c>
      <c r="O12" s="68">
        <v>71</v>
      </c>
      <c r="P12" s="68">
        <v>5</v>
      </c>
      <c r="Q12" s="69">
        <v>3114</v>
      </c>
      <c r="R12" s="20" t="s">
        <v>24</v>
      </c>
    </row>
    <row r="13" spans="1:18" ht="18.75" customHeight="1">
      <c r="A13" s="16" t="s">
        <v>25</v>
      </c>
      <c r="B13" s="17">
        <f>_xlfn.COMPOUNDVALUE(679)</f>
        <v>823</v>
      </c>
      <c r="C13" s="18">
        <v>1675390</v>
      </c>
      <c r="D13" s="17">
        <f>_xlfn.COMPOUNDVALUE(680)</f>
        <v>518</v>
      </c>
      <c r="E13" s="18">
        <v>134751</v>
      </c>
      <c r="F13" s="17">
        <f>_xlfn.COMPOUNDVALUE(681)</f>
        <v>1341</v>
      </c>
      <c r="G13" s="18">
        <v>1810140</v>
      </c>
      <c r="H13" s="17">
        <f>_xlfn.COMPOUNDVALUE(682)</f>
        <v>44</v>
      </c>
      <c r="I13" s="19">
        <v>144533</v>
      </c>
      <c r="J13" s="17">
        <v>73</v>
      </c>
      <c r="K13" s="19">
        <v>9893</v>
      </c>
      <c r="L13" s="17">
        <v>1408</v>
      </c>
      <c r="M13" s="19">
        <v>1675500</v>
      </c>
      <c r="N13" s="17">
        <v>1400</v>
      </c>
      <c r="O13" s="68">
        <v>29</v>
      </c>
      <c r="P13" s="68">
        <v>1</v>
      </c>
      <c r="Q13" s="69">
        <v>1430</v>
      </c>
      <c r="R13" s="20" t="s">
        <v>25</v>
      </c>
    </row>
    <row r="14" spans="1:18" ht="18.75" customHeight="1">
      <c r="A14" s="21" t="s">
        <v>26</v>
      </c>
      <c r="B14" s="22">
        <v>16088</v>
      </c>
      <c r="C14" s="23">
        <v>48247347</v>
      </c>
      <c r="D14" s="22">
        <v>10499</v>
      </c>
      <c r="E14" s="23">
        <v>3147536</v>
      </c>
      <c r="F14" s="22">
        <v>26587</v>
      </c>
      <c r="G14" s="23">
        <v>51394883</v>
      </c>
      <c r="H14" s="22">
        <v>964</v>
      </c>
      <c r="I14" s="24">
        <v>7653123</v>
      </c>
      <c r="J14" s="22">
        <v>1455</v>
      </c>
      <c r="K14" s="24">
        <v>216638</v>
      </c>
      <c r="L14" s="22">
        <v>27941</v>
      </c>
      <c r="M14" s="24">
        <v>43958398</v>
      </c>
      <c r="N14" s="22">
        <v>28609</v>
      </c>
      <c r="O14" s="59">
        <v>605</v>
      </c>
      <c r="P14" s="59">
        <v>58</v>
      </c>
      <c r="Q14" s="60">
        <v>29272</v>
      </c>
      <c r="R14" s="25" t="s">
        <v>131</v>
      </c>
    </row>
    <row r="15" spans="1:18" ht="18.75" customHeight="1">
      <c r="A15" s="41"/>
      <c r="B15" s="36"/>
      <c r="C15" s="37"/>
      <c r="D15" s="36"/>
      <c r="E15" s="37"/>
      <c r="F15" s="38"/>
      <c r="G15" s="37"/>
      <c r="H15" s="38"/>
      <c r="I15" s="37"/>
      <c r="J15" s="38"/>
      <c r="K15" s="37"/>
      <c r="L15" s="38"/>
      <c r="M15" s="37"/>
      <c r="N15" s="61"/>
      <c r="O15" s="62"/>
      <c r="P15" s="62"/>
      <c r="Q15" s="63"/>
      <c r="R15" s="64" t="s">
        <v>130</v>
      </c>
    </row>
    <row r="16" spans="1:18" ht="18.75" customHeight="1">
      <c r="A16" s="11" t="s">
        <v>27</v>
      </c>
      <c r="B16" s="12">
        <f>_xlfn.COMPOUNDVALUE(683)</f>
        <v>3455</v>
      </c>
      <c r="C16" s="13">
        <v>10140062</v>
      </c>
      <c r="D16" s="12">
        <f>_xlfn.COMPOUNDVALUE(684)</f>
        <v>2426</v>
      </c>
      <c r="E16" s="13">
        <v>688779</v>
      </c>
      <c r="F16" s="12">
        <f>_xlfn.COMPOUNDVALUE(685)</f>
        <v>5881</v>
      </c>
      <c r="G16" s="13">
        <v>10828841</v>
      </c>
      <c r="H16" s="12">
        <f>_xlfn.COMPOUNDVALUE(686)</f>
        <v>247</v>
      </c>
      <c r="I16" s="14">
        <v>3908830</v>
      </c>
      <c r="J16" s="12">
        <v>324</v>
      </c>
      <c r="K16" s="14">
        <v>59950</v>
      </c>
      <c r="L16" s="12">
        <v>6198</v>
      </c>
      <c r="M16" s="14">
        <v>6979961</v>
      </c>
      <c r="N16" s="12">
        <v>6243</v>
      </c>
      <c r="O16" s="49">
        <v>127</v>
      </c>
      <c r="P16" s="49">
        <v>18</v>
      </c>
      <c r="Q16" s="50">
        <v>6388</v>
      </c>
      <c r="R16" s="20" t="s">
        <v>27</v>
      </c>
    </row>
    <row r="17" spans="1:18" ht="18.75" customHeight="1">
      <c r="A17" s="11" t="s">
        <v>28</v>
      </c>
      <c r="B17" s="12">
        <f>_xlfn.COMPOUNDVALUE(687)</f>
        <v>2391</v>
      </c>
      <c r="C17" s="13">
        <v>5787391</v>
      </c>
      <c r="D17" s="12">
        <f>_xlfn.COMPOUNDVALUE(688)</f>
        <v>1653</v>
      </c>
      <c r="E17" s="13">
        <v>495486</v>
      </c>
      <c r="F17" s="12">
        <f>_xlfn.COMPOUNDVALUE(689)</f>
        <v>4044</v>
      </c>
      <c r="G17" s="13">
        <v>6282877</v>
      </c>
      <c r="H17" s="12">
        <f>_xlfn.COMPOUNDVALUE(690)</f>
        <v>198</v>
      </c>
      <c r="I17" s="14">
        <v>222372</v>
      </c>
      <c r="J17" s="12">
        <v>238</v>
      </c>
      <c r="K17" s="14">
        <v>40742</v>
      </c>
      <c r="L17" s="12">
        <v>4315</v>
      </c>
      <c r="M17" s="14">
        <v>6101247</v>
      </c>
      <c r="N17" s="17">
        <v>4321</v>
      </c>
      <c r="O17" s="68">
        <v>112</v>
      </c>
      <c r="P17" s="68">
        <v>10</v>
      </c>
      <c r="Q17" s="69">
        <v>4443</v>
      </c>
      <c r="R17" s="20" t="s">
        <v>28</v>
      </c>
    </row>
    <row r="18" spans="1:18" ht="18.75" customHeight="1">
      <c r="A18" s="11" t="s">
        <v>29</v>
      </c>
      <c r="B18" s="12">
        <f>_xlfn.COMPOUNDVALUE(691)</f>
        <v>3677</v>
      </c>
      <c r="C18" s="13">
        <v>16048697</v>
      </c>
      <c r="D18" s="12">
        <f>_xlfn.COMPOUNDVALUE(692)</f>
        <v>2249</v>
      </c>
      <c r="E18" s="13">
        <v>734589</v>
      </c>
      <c r="F18" s="12">
        <f>_xlfn.COMPOUNDVALUE(693)</f>
        <v>5926</v>
      </c>
      <c r="G18" s="13">
        <v>16783286</v>
      </c>
      <c r="H18" s="12">
        <f>_xlfn.COMPOUNDVALUE(694)</f>
        <v>261</v>
      </c>
      <c r="I18" s="14">
        <v>2722972</v>
      </c>
      <c r="J18" s="12">
        <v>332</v>
      </c>
      <c r="K18" s="14">
        <v>52051</v>
      </c>
      <c r="L18" s="12">
        <v>6256</v>
      </c>
      <c r="M18" s="14">
        <v>14112365</v>
      </c>
      <c r="N18" s="17">
        <v>6529</v>
      </c>
      <c r="O18" s="68">
        <v>147</v>
      </c>
      <c r="P18" s="68">
        <v>36</v>
      </c>
      <c r="Q18" s="69">
        <v>6712</v>
      </c>
      <c r="R18" s="20" t="s">
        <v>29</v>
      </c>
    </row>
    <row r="19" spans="1:18" ht="18.75" customHeight="1">
      <c r="A19" s="11" t="s">
        <v>30</v>
      </c>
      <c r="B19" s="12">
        <f>_xlfn.COMPOUNDVALUE(695)</f>
        <v>3083</v>
      </c>
      <c r="C19" s="13">
        <v>7844492</v>
      </c>
      <c r="D19" s="12">
        <f>_xlfn.COMPOUNDVALUE(696)</f>
        <v>1918</v>
      </c>
      <c r="E19" s="13">
        <v>561250</v>
      </c>
      <c r="F19" s="12">
        <f>_xlfn.COMPOUNDVALUE(697)</f>
        <v>5001</v>
      </c>
      <c r="G19" s="13">
        <v>8405742</v>
      </c>
      <c r="H19" s="12">
        <f>_xlfn.COMPOUNDVALUE(698)</f>
        <v>178</v>
      </c>
      <c r="I19" s="14">
        <v>129102</v>
      </c>
      <c r="J19" s="12">
        <v>350</v>
      </c>
      <c r="K19" s="14">
        <v>38071</v>
      </c>
      <c r="L19" s="12">
        <v>5280</v>
      </c>
      <c r="M19" s="14">
        <v>8314711</v>
      </c>
      <c r="N19" s="17">
        <v>5498</v>
      </c>
      <c r="O19" s="68">
        <v>96</v>
      </c>
      <c r="P19" s="68">
        <v>16</v>
      </c>
      <c r="Q19" s="69">
        <v>5610</v>
      </c>
      <c r="R19" s="20" t="s">
        <v>30</v>
      </c>
    </row>
    <row r="20" spans="1:18" ht="18.75" customHeight="1">
      <c r="A20" s="11" t="s">
        <v>31</v>
      </c>
      <c r="B20" s="12">
        <f>_xlfn.COMPOUNDVALUE(699)</f>
        <v>5549</v>
      </c>
      <c r="C20" s="13">
        <v>48375482</v>
      </c>
      <c r="D20" s="12">
        <f>_xlfn.COMPOUNDVALUE(700)</f>
        <v>2614</v>
      </c>
      <c r="E20" s="13">
        <v>787743</v>
      </c>
      <c r="F20" s="12">
        <f>_xlfn.COMPOUNDVALUE(701)</f>
        <v>8163</v>
      </c>
      <c r="G20" s="13">
        <v>49163225</v>
      </c>
      <c r="H20" s="12">
        <f>_xlfn.COMPOUNDVALUE(702)</f>
        <v>419</v>
      </c>
      <c r="I20" s="14">
        <v>8545829</v>
      </c>
      <c r="J20" s="12">
        <v>516</v>
      </c>
      <c r="K20" s="14">
        <v>90890</v>
      </c>
      <c r="L20" s="12">
        <v>8653</v>
      </c>
      <c r="M20" s="14">
        <v>40708285</v>
      </c>
      <c r="N20" s="17">
        <v>8805</v>
      </c>
      <c r="O20" s="68">
        <v>177</v>
      </c>
      <c r="P20" s="68">
        <v>39</v>
      </c>
      <c r="Q20" s="69">
        <v>9021</v>
      </c>
      <c r="R20" s="20" t="s">
        <v>31</v>
      </c>
    </row>
    <row r="21" spans="1:18" ht="18.75" customHeight="1">
      <c r="A21" s="11" t="s">
        <v>32</v>
      </c>
      <c r="B21" s="12">
        <f>_xlfn.COMPOUNDVALUE(703)</f>
        <v>5875</v>
      </c>
      <c r="C21" s="13">
        <v>14828752</v>
      </c>
      <c r="D21" s="12">
        <f>_xlfn.COMPOUNDVALUE(704)</f>
        <v>3716</v>
      </c>
      <c r="E21" s="13">
        <v>1082558</v>
      </c>
      <c r="F21" s="12">
        <f>_xlfn.COMPOUNDVALUE(705)</f>
        <v>9591</v>
      </c>
      <c r="G21" s="13">
        <v>15911310</v>
      </c>
      <c r="H21" s="12">
        <f>_xlfn.COMPOUNDVALUE(706)</f>
        <v>392</v>
      </c>
      <c r="I21" s="14">
        <v>18944578</v>
      </c>
      <c r="J21" s="12">
        <v>487</v>
      </c>
      <c r="K21" s="14">
        <v>110586</v>
      </c>
      <c r="L21" s="12">
        <v>10145</v>
      </c>
      <c r="M21" s="14">
        <v>-2922682</v>
      </c>
      <c r="N21" s="17">
        <v>10640</v>
      </c>
      <c r="O21" s="68">
        <v>197</v>
      </c>
      <c r="P21" s="68">
        <v>24</v>
      </c>
      <c r="Q21" s="69">
        <v>10861</v>
      </c>
      <c r="R21" s="20" t="s">
        <v>32</v>
      </c>
    </row>
    <row r="22" spans="1:18" ht="18.75" customHeight="1">
      <c r="A22" s="16" t="s">
        <v>33</v>
      </c>
      <c r="B22" s="17">
        <f>_xlfn.COMPOUNDVALUE(707)</f>
        <v>3574</v>
      </c>
      <c r="C22" s="18">
        <v>13297069</v>
      </c>
      <c r="D22" s="17">
        <f>_xlfn.COMPOUNDVALUE(708)</f>
        <v>2168</v>
      </c>
      <c r="E22" s="18">
        <v>661133</v>
      </c>
      <c r="F22" s="17">
        <f>_xlfn.COMPOUNDVALUE(709)</f>
        <v>5742</v>
      </c>
      <c r="G22" s="18">
        <v>13958202</v>
      </c>
      <c r="H22" s="17">
        <f>_xlfn.COMPOUNDVALUE(710)</f>
        <v>233</v>
      </c>
      <c r="I22" s="19">
        <v>2248262</v>
      </c>
      <c r="J22" s="17">
        <v>398</v>
      </c>
      <c r="K22" s="19">
        <v>38954</v>
      </c>
      <c r="L22" s="17">
        <v>6056</v>
      </c>
      <c r="M22" s="19">
        <v>11748894</v>
      </c>
      <c r="N22" s="17">
        <v>6419</v>
      </c>
      <c r="O22" s="68">
        <v>135</v>
      </c>
      <c r="P22" s="68">
        <v>13</v>
      </c>
      <c r="Q22" s="69">
        <v>6567</v>
      </c>
      <c r="R22" s="20" t="s">
        <v>33</v>
      </c>
    </row>
    <row r="23" spans="1:18" ht="18.75" customHeight="1">
      <c r="A23" s="16" t="s">
        <v>34</v>
      </c>
      <c r="B23" s="17">
        <f>_xlfn.COMPOUNDVALUE(711)</f>
        <v>1506</v>
      </c>
      <c r="C23" s="18">
        <v>4718496</v>
      </c>
      <c r="D23" s="17">
        <f>_xlfn.COMPOUNDVALUE(712)</f>
        <v>906</v>
      </c>
      <c r="E23" s="18">
        <v>263884</v>
      </c>
      <c r="F23" s="17">
        <f>_xlfn.COMPOUNDVALUE(713)</f>
        <v>2412</v>
      </c>
      <c r="G23" s="18">
        <v>4982380</v>
      </c>
      <c r="H23" s="17">
        <f>_xlfn.COMPOUNDVALUE(714)</f>
        <v>70</v>
      </c>
      <c r="I23" s="19">
        <v>84431</v>
      </c>
      <c r="J23" s="17">
        <v>132</v>
      </c>
      <c r="K23" s="19">
        <v>2343</v>
      </c>
      <c r="L23" s="17">
        <v>2513</v>
      </c>
      <c r="M23" s="19">
        <v>4900292</v>
      </c>
      <c r="N23" s="17">
        <v>2527</v>
      </c>
      <c r="O23" s="68">
        <v>59</v>
      </c>
      <c r="P23" s="68">
        <v>7</v>
      </c>
      <c r="Q23" s="69">
        <v>2593</v>
      </c>
      <c r="R23" s="20" t="s">
        <v>34</v>
      </c>
    </row>
    <row r="24" spans="1:18" ht="18.75" customHeight="1">
      <c r="A24" s="16" t="s">
        <v>35</v>
      </c>
      <c r="B24" s="17">
        <f>_xlfn.COMPOUNDVALUE(715)</f>
        <v>1196</v>
      </c>
      <c r="C24" s="18">
        <v>2082494</v>
      </c>
      <c r="D24" s="17">
        <f>_xlfn.COMPOUNDVALUE(716)</f>
        <v>703</v>
      </c>
      <c r="E24" s="18">
        <v>193837</v>
      </c>
      <c r="F24" s="17">
        <f>_xlfn.COMPOUNDVALUE(717)</f>
        <v>1899</v>
      </c>
      <c r="G24" s="18">
        <v>2276331</v>
      </c>
      <c r="H24" s="17">
        <f>_xlfn.COMPOUNDVALUE(718)</f>
        <v>65</v>
      </c>
      <c r="I24" s="19">
        <v>103861</v>
      </c>
      <c r="J24" s="17">
        <v>176</v>
      </c>
      <c r="K24" s="19">
        <v>35414</v>
      </c>
      <c r="L24" s="17">
        <v>2030</v>
      </c>
      <c r="M24" s="19">
        <v>2207884</v>
      </c>
      <c r="N24" s="17">
        <v>2016</v>
      </c>
      <c r="O24" s="68">
        <v>47</v>
      </c>
      <c r="P24" s="68">
        <v>1</v>
      </c>
      <c r="Q24" s="69">
        <v>2064</v>
      </c>
      <c r="R24" s="20" t="s">
        <v>35</v>
      </c>
    </row>
    <row r="25" spans="1:18" ht="18.75" customHeight="1">
      <c r="A25" s="16" t="s">
        <v>36</v>
      </c>
      <c r="B25" s="17">
        <f>_xlfn.COMPOUNDVALUE(719)</f>
        <v>6298</v>
      </c>
      <c r="C25" s="18">
        <v>15323844</v>
      </c>
      <c r="D25" s="17">
        <f>_xlfn.COMPOUNDVALUE(720)</f>
        <v>3594</v>
      </c>
      <c r="E25" s="18">
        <v>1068117</v>
      </c>
      <c r="F25" s="17">
        <f>_xlfn.COMPOUNDVALUE(721)</f>
        <v>9892</v>
      </c>
      <c r="G25" s="18">
        <v>16391961</v>
      </c>
      <c r="H25" s="17">
        <f>_xlfn.COMPOUNDVALUE(722)</f>
        <v>512</v>
      </c>
      <c r="I25" s="19">
        <v>817359</v>
      </c>
      <c r="J25" s="17">
        <v>581</v>
      </c>
      <c r="K25" s="19">
        <v>94624</v>
      </c>
      <c r="L25" s="17">
        <v>10562</v>
      </c>
      <c r="M25" s="19">
        <v>15669226</v>
      </c>
      <c r="N25" s="17">
        <v>10644</v>
      </c>
      <c r="O25" s="68">
        <v>270</v>
      </c>
      <c r="P25" s="68">
        <v>18</v>
      </c>
      <c r="Q25" s="69">
        <v>10932</v>
      </c>
      <c r="R25" s="20" t="s">
        <v>36</v>
      </c>
    </row>
    <row r="26" spans="1:18" ht="18.75" customHeight="1">
      <c r="A26" s="16" t="s">
        <v>37</v>
      </c>
      <c r="B26" s="17">
        <f>_xlfn.COMPOUNDVALUE(723)</f>
        <v>715</v>
      </c>
      <c r="C26" s="18">
        <v>1040069</v>
      </c>
      <c r="D26" s="17">
        <f>_xlfn.COMPOUNDVALUE(724)</f>
        <v>454</v>
      </c>
      <c r="E26" s="18">
        <v>115190</v>
      </c>
      <c r="F26" s="17">
        <f>_xlfn.COMPOUNDVALUE(725)</f>
        <v>1169</v>
      </c>
      <c r="G26" s="18">
        <v>1155259</v>
      </c>
      <c r="H26" s="17">
        <f>_xlfn.COMPOUNDVALUE(726)</f>
        <v>24</v>
      </c>
      <c r="I26" s="19">
        <v>20658</v>
      </c>
      <c r="J26" s="17">
        <v>72</v>
      </c>
      <c r="K26" s="19">
        <v>3282</v>
      </c>
      <c r="L26" s="17">
        <v>1196</v>
      </c>
      <c r="M26" s="19">
        <v>1137884</v>
      </c>
      <c r="N26" s="17">
        <v>1169</v>
      </c>
      <c r="O26" s="68">
        <v>19</v>
      </c>
      <c r="P26" s="68">
        <v>1</v>
      </c>
      <c r="Q26" s="69">
        <v>1189</v>
      </c>
      <c r="R26" s="20" t="s">
        <v>37</v>
      </c>
    </row>
    <row r="27" spans="1:18" ht="18.75" customHeight="1">
      <c r="A27" s="16" t="s">
        <v>38</v>
      </c>
      <c r="B27" s="17">
        <f>_xlfn.COMPOUNDVALUE(727)</f>
        <v>1761</v>
      </c>
      <c r="C27" s="18">
        <v>3363891</v>
      </c>
      <c r="D27" s="17">
        <f>_xlfn.COMPOUNDVALUE(728)</f>
        <v>1012</v>
      </c>
      <c r="E27" s="18">
        <v>284676</v>
      </c>
      <c r="F27" s="17">
        <f>_xlfn.COMPOUNDVALUE(729)</f>
        <v>2773</v>
      </c>
      <c r="G27" s="18">
        <v>3648567</v>
      </c>
      <c r="H27" s="17">
        <f>_xlfn.COMPOUNDVALUE(730)</f>
        <v>106</v>
      </c>
      <c r="I27" s="19">
        <v>293009</v>
      </c>
      <c r="J27" s="17">
        <v>121</v>
      </c>
      <c r="K27" s="19">
        <v>11493</v>
      </c>
      <c r="L27" s="17">
        <v>2902</v>
      </c>
      <c r="M27" s="19">
        <v>3367050</v>
      </c>
      <c r="N27" s="17">
        <v>2892</v>
      </c>
      <c r="O27" s="68">
        <v>52</v>
      </c>
      <c r="P27" s="68">
        <v>8</v>
      </c>
      <c r="Q27" s="69">
        <v>2952</v>
      </c>
      <c r="R27" s="20" t="s">
        <v>38</v>
      </c>
    </row>
    <row r="28" spans="1:18" ht="18.75" customHeight="1">
      <c r="A28" s="16" t="s">
        <v>39</v>
      </c>
      <c r="B28" s="17">
        <f>_xlfn.COMPOUNDVALUE(731)</f>
        <v>1019</v>
      </c>
      <c r="C28" s="18">
        <v>1572329</v>
      </c>
      <c r="D28" s="17">
        <f>_xlfn.COMPOUNDVALUE(732)</f>
        <v>516</v>
      </c>
      <c r="E28" s="18">
        <v>140197</v>
      </c>
      <c r="F28" s="17">
        <f>_xlfn.COMPOUNDVALUE(733)</f>
        <v>1535</v>
      </c>
      <c r="G28" s="18">
        <v>1712526</v>
      </c>
      <c r="H28" s="17">
        <f>_xlfn.COMPOUNDVALUE(734)</f>
        <v>34</v>
      </c>
      <c r="I28" s="19">
        <v>11555</v>
      </c>
      <c r="J28" s="17">
        <v>117</v>
      </c>
      <c r="K28" s="19">
        <v>13592</v>
      </c>
      <c r="L28" s="17">
        <v>1578</v>
      </c>
      <c r="M28" s="19">
        <v>1714564</v>
      </c>
      <c r="N28" s="17">
        <v>1561</v>
      </c>
      <c r="O28" s="68">
        <v>55</v>
      </c>
      <c r="P28" s="68">
        <v>0</v>
      </c>
      <c r="Q28" s="69">
        <v>1616</v>
      </c>
      <c r="R28" s="20" t="s">
        <v>39</v>
      </c>
    </row>
    <row r="29" spans="1:18" ht="18.75" customHeight="1">
      <c r="A29" s="21" t="s">
        <v>40</v>
      </c>
      <c r="B29" s="22">
        <v>40099</v>
      </c>
      <c r="C29" s="23">
        <v>144423068</v>
      </c>
      <c r="D29" s="22">
        <v>23929</v>
      </c>
      <c r="E29" s="23">
        <v>7077438</v>
      </c>
      <c r="F29" s="22">
        <v>64028</v>
      </c>
      <c r="G29" s="23">
        <v>151500506</v>
      </c>
      <c r="H29" s="22">
        <v>2739</v>
      </c>
      <c r="I29" s="24">
        <v>38052816</v>
      </c>
      <c r="J29" s="22">
        <v>3844</v>
      </c>
      <c r="K29" s="24">
        <v>591991</v>
      </c>
      <c r="L29" s="22">
        <v>67684</v>
      </c>
      <c r="M29" s="24">
        <v>114039681</v>
      </c>
      <c r="N29" s="22">
        <v>69264</v>
      </c>
      <c r="O29" s="59">
        <v>1493</v>
      </c>
      <c r="P29" s="59">
        <v>191</v>
      </c>
      <c r="Q29" s="60">
        <v>70948</v>
      </c>
      <c r="R29" s="25" t="s">
        <v>132</v>
      </c>
    </row>
    <row r="30" spans="1:18" ht="18.75" customHeight="1">
      <c r="A30" s="35"/>
      <c r="B30" s="36"/>
      <c r="C30" s="37"/>
      <c r="D30" s="36"/>
      <c r="E30" s="37"/>
      <c r="F30" s="38"/>
      <c r="G30" s="37"/>
      <c r="H30" s="38"/>
      <c r="I30" s="37"/>
      <c r="J30" s="38"/>
      <c r="K30" s="37"/>
      <c r="L30" s="38"/>
      <c r="M30" s="37"/>
      <c r="N30" s="61"/>
      <c r="O30" s="62"/>
      <c r="P30" s="62"/>
      <c r="Q30" s="63"/>
      <c r="R30" s="64" t="s">
        <v>130</v>
      </c>
    </row>
    <row r="31" spans="1:18" ht="18.75" customHeight="1">
      <c r="A31" s="11" t="s">
        <v>41</v>
      </c>
      <c r="B31" s="12">
        <f>_xlfn.COMPOUNDVALUE(735)</f>
        <v>3460</v>
      </c>
      <c r="C31" s="13">
        <v>23335416</v>
      </c>
      <c r="D31" s="12">
        <f>_xlfn.COMPOUNDVALUE(736)</f>
        <v>1336</v>
      </c>
      <c r="E31" s="13">
        <v>416242</v>
      </c>
      <c r="F31" s="12">
        <f>_xlfn.COMPOUNDVALUE(737)</f>
        <v>4796</v>
      </c>
      <c r="G31" s="13">
        <v>23751658</v>
      </c>
      <c r="H31" s="12">
        <f>_xlfn.COMPOUNDVALUE(738)</f>
        <v>398</v>
      </c>
      <c r="I31" s="14">
        <v>1440510</v>
      </c>
      <c r="J31" s="12">
        <v>297</v>
      </c>
      <c r="K31" s="14">
        <v>16119</v>
      </c>
      <c r="L31" s="12">
        <v>5276</v>
      </c>
      <c r="M31" s="14">
        <v>22327267</v>
      </c>
      <c r="N31" s="12">
        <v>5178</v>
      </c>
      <c r="O31" s="49">
        <v>147</v>
      </c>
      <c r="P31" s="49">
        <v>20</v>
      </c>
      <c r="Q31" s="50">
        <v>5345</v>
      </c>
      <c r="R31" s="20" t="s">
        <v>41</v>
      </c>
    </row>
    <row r="32" spans="1:18" ht="18.75" customHeight="1">
      <c r="A32" s="11" t="s">
        <v>42</v>
      </c>
      <c r="B32" s="12">
        <f>_xlfn.COMPOUNDVALUE(739)</f>
        <v>6241</v>
      </c>
      <c r="C32" s="13">
        <v>51521091</v>
      </c>
      <c r="D32" s="12">
        <f>_xlfn.COMPOUNDVALUE(740)</f>
        <v>1938</v>
      </c>
      <c r="E32" s="13">
        <v>698974</v>
      </c>
      <c r="F32" s="12">
        <f>_xlfn.COMPOUNDVALUE(741)</f>
        <v>8179</v>
      </c>
      <c r="G32" s="13">
        <v>52220064</v>
      </c>
      <c r="H32" s="12">
        <f>_xlfn.COMPOUNDVALUE(742)</f>
        <v>1129</v>
      </c>
      <c r="I32" s="14">
        <v>16380243</v>
      </c>
      <c r="J32" s="12">
        <v>543</v>
      </c>
      <c r="K32" s="14">
        <v>114152</v>
      </c>
      <c r="L32" s="12">
        <v>9395</v>
      </c>
      <c r="M32" s="14">
        <v>35953974</v>
      </c>
      <c r="N32" s="17">
        <v>9182</v>
      </c>
      <c r="O32" s="68">
        <v>299</v>
      </c>
      <c r="P32" s="68">
        <v>88</v>
      </c>
      <c r="Q32" s="69">
        <v>9569</v>
      </c>
      <c r="R32" s="20" t="s">
        <v>42</v>
      </c>
    </row>
    <row r="33" spans="1:18" ht="18.75" customHeight="1">
      <c r="A33" s="11" t="s">
        <v>43</v>
      </c>
      <c r="B33" s="12">
        <f>_xlfn.COMPOUNDVALUE(743)</f>
        <v>3070</v>
      </c>
      <c r="C33" s="13">
        <v>12238330</v>
      </c>
      <c r="D33" s="12">
        <f>_xlfn.COMPOUNDVALUE(744)</f>
        <v>1449</v>
      </c>
      <c r="E33" s="13">
        <v>445576</v>
      </c>
      <c r="F33" s="12">
        <f>_xlfn.COMPOUNDVALUE(745)</f>
        <v>4519</v>
      </c>
      <c r="G33" s="13">
        <v>12683906</v>
      </c>
      <c r="H33" s="12">
        <f>_xlfn.COMPOUNDVALUE(746)</f>
        <v>310</v>
      </c>
      <c r="I33" s="14">
        <v>694496</v>
      </c>
      <c r="J33" s="12">
        <v>372</v>
      </c>
      <c r="K33" s="14">
        <v>40752</v>
      </c>
      <c r="L33" s="12">
        <v>4909</v>
      </c>
      <c r="M33" s="14">
        <v>12030162</v>
      </c>
      <c r="N33" s="17">
        <v>4993</v>
      </c>
      <c r="O33" s="68">
        <v>117</v>
      </c>
      <c r="P33" s="68">
        <v>8</v>
      </c>
      <c r="Q33" s="69">
        <v>5118</v>
      </c>
      <c r="R33" s="20" t="s">
        <v>43</v>
      </c>
    </row>
    <row r="34" spans="1:18" ht="18.75" customHeight="1">
      <c r="A34" s="11" t="s">
        <v>44</v>
      </c>
      <c r="B34" s="12">
        <f>_xlfn.COMPOUNDVALUE(747)</f>
        <v>2535</v>
      </c>
      <c r="C34" s="13">
        <v>17563884</v>
      </c>
      <c r="D34" s="12">
        <f>_xlfn.COMPOUNDVALUE(748)</f>
        <v>1358</v>
      </c>
      <c r="E34" s="13">
        <v>453889</v>
      </c>
      <c r="F34" s="12">
        <f>_xlfn.COMPOUNDVALUE(749)</f>
        <v>3893</v>
      </c>
      <c r="G34" s="13">
        <v>18017772</v>
      </c>
      <c r="H34" s="12">
        <f>_xlfn.COMPOUNDVALUE(750)</f>
        <v>348</v>
      </c>
      <c r="I34" s="14">
        <v>970646</v>
      </c>
      <c r="J34" s="12">
        <v>233</v>
      </c>
      <c r="K34" s="14">
        <v>128386</v>
      </c>
      <c r="L34" s="12">
        <v>4318</v>
      </c>
      <c r="M34" s="14">
        <v>17175513</v>
      </c>
      <c r="N34" s="17">
        <v>4239</v>
      </c>
      <c r="O34" s="68">
        <v>144</v>
      </c>
      <c r="P34" s="68">
        <v>20</v>
      </c>
      <c r="Q34" s="69">
        <v>4403</v>
      </c>
      <c r="R34" s="20" t="s">
        <v>44</v>
      </c>
    </row>
    <row r="35" spans="1:18" ht="18.75" customHeight="1">
      <c r="A35" s="11" t="s">
        <v>45</v>
      </c>
      <c r="B35" s="12">
        <f>_xlfn.COMPOUNDVALUE(751)</f>
        <v>2834</v>
      </c>
      <c r="C35" s="13">
        <v>14605002</v>
      </c>
      <c r="D35" s="12">
        <f>_xlfn.COMPOUNDVALUE(752)</f>
        <v>920</v>
      </c>
      <c r="E35" s="13">
        <v>304470</v>
      </c>
      <c r="F35" s="12">
        <f>_xlfn.COMPOUNDVALUE(753)</f>
        <v>3754</v>
      </c>
      <c r="G35" s="13">
        <v>14909472</v>
      </c>
      <c r="H35" s="12">
        <f>_xlfn.COMPOUNDVALUE(754)</f>
        <v>390</v>
      </c>
      <c r="I35" s="14">
        <v>7546168</v>
      </c>
      <c r="J35" s="12">
        <v>196</v>
      </c>
      <c r="K35" s="14">
        <v>94193</v>
      </c>
      <c r="L35" s="12">
        <v>4199</v>
      </c>
      <c r="M35" s="14">
        <v>7457497</v>
      </c>
      <c r="N35" s="17">
        <v>4377</v>
      </c>
      <c r="O35" s="68">
        <v>142</v>
      </c>
      <c r="P35" s="68">
        <v>20</v>
      </c>
      <c r="Q35" s="69">
        <v>4539</v>
      </c>
      <c r="R35" s="20" t="s">
        <v>45</v>
      </c>
    </row>
    <row r="36" spans="1:18" ht="18.75" customHeight="1">
      <c r="A36" s="11" t="s">
        <v>46</v>
      </c>
      <c r="B36" s="12">
        <f>_xlfn.COMPOUNDVALUE(755)</f>
        <v>1939</v>
      </c>
      <c r="C36" s="13">
        <v>10339530</v>
      </c>
      <c r="D36" s="12">
        <f>_xlfn.COMPOUNDVALUE(756)</f>
        <v>871</v>
      </c>
      <c r="E36" s="13">
        <v>284057</v>
      </c>
      <c r="F36" s="12">
        <f>_xlfn.COMPOUNDVALUE(757)</f>
        <v>2810</v>
      </c>
      <c r="G36" s="13">
        <v>10623586</v>
      </c>
      <c r="H36" s="12">
        <f>_xlfn.COMPOUNDVALUE(758)</f>
        <v>150</v>
      </c>
      <c r="I36" s="14">
        <v>607805</v>
      </c>
      <c r="J36" s="12">
        <v>195</v>
      </c>
      <c r="K36" s="14">
        <v>8567</v>
      </c>
      <c r="L36" s="12">
        <v>2998</v>
      </c>
      <c r="M36" s="14">
        <v>10024348</v>
      </c>
      <c r="N36" s="17">
        <v>3072</v>
      </c>
      <c r="O36" s="68">
        <v>73</v>
      </c>
      <c r="P36" s="68">
        <v>3</v>
      </c>
      <c r="Q36" s="69">
        <v>3148</v>
      </c>
      <c r="R36" s="20" t="s">
        <v>46</v>
      </c>
    </row>
    <row r="37" spans="1:18" ht="18.75" customHeight="1">
      <c r="A37" s="11" t="s">
        <v>47</v>
      </c>
      <c r="B37" s="12">
        <f>_xlfn.COMPOUNDVALUE(759)</f>
        <v>2066</v>
      </c>
      <c r="C37" s="13">
        <v>8880963</v>
      </c>
      <c r="D37" s="12">
        <f>_xlfn.COMPOUNDVALUE(760)</f>
        <v>1209</v>
      </c>
      <c r="E37" s="13">
        <v>362132</v>
      </c>
      <c r="F37" s="12">
        <f>_xlfn.COMPOUNDVALUE(761)</f>
        <v>3275</v>
      </c>
      <c r="G37" s="13">
        <v>9243095</v>
      </c>
      <c r="H37" s="12">
        <f>_xlfn.COMPOUNDVALUE(762)</f>
        <v>189</v>
      </c>
      <c r="I37" s="14">
        <v>366277</v>
      </c>
      <c r="J37" s="12">
        <v>253</v>
      </c>
      <c r="K37" s="14">
        <v>19952</v>
      </c>
      <c r="L37" s="12">
        <v>3501</v>
      </c>
      <c r="M37" s="14">
        <v>8896770</v>
      </c>
      <c r="N37" s="17">
        <v>3517</v>
      </c>
      <c r="O37" s="68">
        <v>84</v>
      </c>
      <c r="P37" s="68">
        <v>7</v>
      </c>
      <c r="Q37" s="69">
        <v>3608</v>
      </c>
      <c r="R37" s="20" t="s">
        <v>47</v>
      </c>
    </row>
    <row r="38" spans="1:18" ht="18.75" customHeight="1">
      <c r="A38" s="11" t="s">
        <v>48</v>
      </c>
      <c r="B38" s="12">
        <f>_xlfn.COMPOUNDVALUE(763)</f>
        <v>2644</v>
      </c>
      <c r="C38" s="13">
        <v>8227077</v>
      </c>
      <c r="D38" s="12">
        <f>_xlfn.COMPOUNDVALUE(764)</f>
        <v>1802</v>
      </c>
      <c r="E38" s="13">
        <v>524511</v>
      </c>
      <c r="F38" s="12">
        <f>_xlfn.COMPOUNDVALUE(765)</f>
        <v>4446</v>
      </c>
      <c r="G38" s="13">
        <v>8751588</v>
      </c>
      <c r="H38" s="12">
        <f>_xlfn.COMPOUNDVALUE(766)</f>
        <v>185</v>
      </c>
      <c r="I38" s="14">
        <v>127214</v>
      </c>
      <c r="J38" s="12">
        <v>355</v>
      </c>
      <c r="K38" s="14">
        <v>59425</v>
      </c>
      <c r="L38" s="12">
        <v>4713</v>
      </c>
      <c r="M38" s="14">
        <v>8683800</v>
      </c>
      <c r="N38" s="17">
        <v>4837</v>
      </c>
      <c r="O38" s="68">
        <v>95</v>
      </c>
      <c r="P38" s="68">
        <v>13</v>
      </c>
      <c r="Q38" s="69">
        <v>4945</v>
      </c>
      <c r="R38" s="20" t="s">
        <v>48</v>
      </c>
    </row>
    <row r="39" spans="1:18" ht="18.75" customHeight="1">
      <c r="A39" s="11" t="s">
        <v>49</v>
      </c>
      <c r="B39" s="12">
        <f>_xlfn.COMPOUNDVALUE(767)</f>
        <v>3257</v>
      </c>
      <c r="C39" s="13">
        <v>9591534</v>
      </c>
      <c r="D39" s="12">
        <f>_xlfn.COMPOUNDVALUE(768)</f>
        <v>1744</v>
      </c>
      <c r="E39" s="13">
        <v>545045</v>
      </c>
      <c r="F39" s="12">
        <f>_xlfn.COMPOUNDVALUE(769)</f>
        <v>5001</v>
      </c>
      <c r="G39" s="13">
        <v>10136580</v>
      </c>
      <c r="H39" s="12">
        <f>_xlfn.COMPOUNDVALUE(770)</f>
        <v>238</v>
      </c>
      <c r="I39" s="14">
        <v>302594</v>
      </c>
      <c r="J39" s="12">
        <v>317</v>
      </c>
      <c r="K39" s="14">
        <v>69942</v>
      </c>
      <c r="L39" s="12">
        <v>5321</v>
      </c>
      <c r="M39" s="14">
        <v>9903928</v>
      </c>
      <c r="N39" s="12">
        <v>5572</v>
      </c>
      <c r="O39" s="162">
        <v>129</v>
      </c>
      <c r="P39" s="162">
        <v>26</v>
      </c>
      <c r="Q39" s="161">
        <v>5727</v>
      </c>
      <c r="R39" s="15" t="s">
        <v>49</v>
      </c>
    </row>
    <row r="40" spans="1:18" ht="18.75" customHeight="1">
      <c r="A40" s="11" t="s">
        <v>50</v>
      </c>
      <c r="B40" s="12">
        <f>_xlfn.COMPOUNDVALUE(771)</f>
        <v>3868</v>
      </c>
      <c r="C40" s="13">
        <v>13445492</v>
      </c>
      <c r="D40" s="12">
        <f>_xlfn.COMPOUNDVALUE(772)</f>
        <v>2114</v>
      </c>
      <c r="E40" s="13">
        <v>656859</v>
      </c>
      <c r="F40" s="12">
        <f>_xlfn.COMPOUNDVALUE(773)</f>
        <v>5982</v>
      </c>
      <c r="G40" s="13">
        <v>14102351</v>
      </c>
      <c r="H40" s="12">
        <f>_xlfn.COMPOUNDVALUE(774)</f>
        <v>267</v>
      </c>
      <c r="I40" s="14">
        <v>1013016</v>
      </c>
      <c r="J40" s="12">
        <v>461</v>
      </c>
      <c r="K40" s="14">
        <v>30582</v>
      </c>
      <c r="L40" s="12">
        <v>6381</v>
      </c>
      <c r="M40" s="14">
        <v>13119918</v>
      </c>
      <c r="N40" s="12">
        <v>6771</v>
      </c>
      <c r="O40" s="162">
        <v>131</v>
      </c>
      <c r="P40" s="162">
        <v>14</v>
      </c>
      <c r="Q40" s="161">
        <v>6916</v>
      </c>
      <c r="R40" s="15" t="s">
        <v>50</v>
      </c>
    </row>
    <row r="41" spans="1:18" ht="18.75" customHeight="1">
      <c r="A41" s="11" t="s">
        <v>51</v>
      </c>
      <c r="B41" s="12">
        <f>_xlfn.COMPOUNDVALUE(775)</f>
        <v>1769</v>
      </c>
      <c r="C41" s="13">
        <v>8126319</v>
      </c>
      <c r="D41" s="12">
        <f>_xlfn.COMPOUNDVALUE(776)</f>
        <v>1080</v>
      </c>
      <c r="E41" s="13">
        <v>344495</v>
      </c>
      <c r="F41" s="12">
        <f>_xlfn.COMPOUNDVALUE(777)</f>
        <v>2849</v>
      </c>
      <c r="G41" s="13">
        <v>8470814</v>
      </c>
      <c r="H41" s="12">
        <f>_xlfn.COMPOUNDVALUE(778)</f>
        <v>192</v>
      </c>
      <c r="I41" s="14">
        <v>13168744</v>
      </c>
      <c r="J41" s="12">
        <v>177</v>
      </c>
      <c r="K41" s="14">
        <v>39754</v>
      </c>
      <c r="L41" s="12">
        <v>3090</v>
      </c>
      <c r="M41" s="14">
        <v>-4658175</v>
      </c>
      <c r="N41" s="17">
        <v>2947</v>
      </c>
      <c r="O41" s="68">
        <v>89</v>
      </c>
      <c r="P41" s="68">
        <v>5</v>
      </c>
      <c r="Q41" s="69">
        <v>3041</v>
      </c>
      <c r="R41" s="20" t="s">
        <v>51</v>
      </c>
    </row>
    <row r="42" spans="1:18" ht="18.75" customHeight="1">
      <c r="A42" s="11" t="s">
        <v>52</v>
      </c>
      <c r="B42" s="12">
        <f>_xlfn.COMPOUNDVALUE(779)</f>
        <v>3953</v>
      </c>
      <c r="C42" s="13">
        <v>13824644</v>
      </c>
      <c r="D42" s="12">
        <f>_xlfn.COMPOUNDVALUE(780)</f>
        <v>2011</v>
      </c>
      <c r="E42" s="13">
        <v>631597</v>
      </c>
      <c r="F42" s="12">
        <f>_xlfn.COMPOUNDVALUE(781)</f>
        <v>5964</v>
      </c>
      <c r="G42" s="13">
        <v>14456241</v>
      </c>
      <c r="H42" s="12">
        <f>_xlfn.COMPOUNDVALUE(782)</f>
        <v>347</v>
      </c>
      <c r="I42" s="14">
        <v>693013</v>
      </c>
      <c r="J42" s="12">
        <v>396</v>
      </c>
      <c r="K42" s="14">
        <v>81322</v>
      </c>
      <c r="L42" s="12">
        <v>6429</v>
      </c>
      <c r="M42" s="14">
        <v>13844550</v>
      </c>
      <c r="N42" s="17">
        <v>6554</v>
      </c>
      <c r="O42" s="68">
        <v>184</v>
      </c>
      <c r="P42" s="68">
        <v>28</v>
      </c>
      <c r="Q42" s="69">
        <v>6766</v>
      </c>
      <c r="R42" s="20" t="s">
        <v>52</v>
      </c>
    </row>
    <row r="43" spans="1:18" ht="18.75" customHeight="1">
      <c r="A43" s="11" t="s">
        <v>53</v>
      </c>
      <c r="B43" s="12">
        <f>_xlfn.COMPOUNDVALUE(783)</f>
        <v>5793</v>
      </c>
      <c r="C43" s="13">
        <v>13521391</v>
      </c>
      <c r="D43" s="12">
        <f>_xlfn.COMPOUNDVALUE(784)</f>
        <v>3351</v>
      </c>
      <c r="E43" s="13">
        <v>1025550</v>
      </c>
      <c r="F43" s="12">
        <f>_xlfn.COMPOUNDVALUE(785)</f>
        <v>9144</v>
      </c>
      <c r="G43" s="13">
        <v>14546941</v>
      </c>
      <c r="H43" s="12">
        <f>_xlfn.COMPOUNDVALUE(786)</f>
        <v>407</v>
      </c>
      <c r="I43" s="14">
        <v>1093234</v>
      </c>
      <c r="J43" s="12">
        <v>544</v>
      </c>
      <c r="K43" s="14">
        <v>128374</v>
      </c>
      <c r="L43" s="12">
        <v>9686</v>
      </c>
      <c r="M43" s="14">
        <v>13582080</v>
      </c>
      <c r="N43" s="17">
        <v>9582</v>
      </c>
      <c r="O43" s="68">
        <v>152</v>
      </c>
      <c r="P43" s="68">
        <v>24</v>
      </c>
      <c r="Q43" s="69">
        <v>9758</v>
      </c>
      <c r="R43" s="20" t="s">
        <v>53</v>
      </c>
    </row>
    <row r="44" spans="1:18" ht="18.75" customHeight="1">
      <c r="A44" s="11" t="s">
        <v>54</v>
      </c>
      <c r="B44" s="12">
        <f>_xlfn.COMPOUNDVALUE(787)</f>
        <v>1798</v>
      </c>
      <c r="C44" s="13">
        <v>6202860</v>
      </c>
      <c r="D44" s="12">
        <f>_xlfn.COMPOUNDVALUE(788)</f>
        <v>939</v>
      </c>
      <c r="E44" s="13">
        <v>277016</v>
      </c>
      <c r="F44" s="12">
        <f>_xlfn.COMPOUNDVALUE(789)</f>
        <v>2737</v>
      </c>
      <c r="G44" s="13">
        <v>6479876</v>
      </c>
      <c r="H44" s="12">
        <f>_xlfn.COMPOUNDVALUE(790)</f>
        <v>128</v>
      </c>
      <c r="I44" s="14">
        <v>215089</v>
      </c>
      <c r="J44" s="12">
        <v>177</v>
      </c>
      <c r="K44" s="14">
        <v>32771</v>
      </c>
      <c r="L44" s="12">
        <v>2904</v>
      </c>
      <c r="M44" s="14">
        <v>6297558</v>
      </c>
      <c r="N44" s="17">
        <v>3044</v>
      </c>
      <c r="O44" s="68">
        <v>59</v>
      </c>
      <c r="P44" s="68">
        <v>6</v>
      </c>
      <c r="Q44" s="69">
        <v>3109</v>
      </c>
      <c r="R44" s="20" t="s">
        <v>54</v>
      </c>
    </row>
    <row r="45" spans="1:18" ht="18.75" customHeight="1">
      <c r="A45" s="11" t="s">
        <v>55</v>
      </c>
      <c r="B45" s="12">
        <f>_xlfn.COMPOUNDVALUE(791)</f>
        <v>6937</v>
      </c>
      <c r="C45" s="13">
        <v>43891403</v>
      </c>
      <c r="D45" s="12">
        <f>_xlfn.COMPOUNDVALUE(792)</f>
        <v>3147</v>
      </c>
      <c r="E45" s="13">
        <v>1123214</v>
      </c>
      <c r="F45" s="12">
        <f>_xlfn.COMPOUNDVALUE(793)</f>
        <v>10084</v>
      </c>
      <c r="G45" s="13">
        <v>45014617</v>
      </c>
      <c r="H45" s="12">
        <f>_xlfn.COMPOUNDVALUE(794)</f>
        <v>777</v>
      </c>
      <c r="I45" s="14">
        <v>2943122</v>
      </c>
      <c r="J45" s="12">
        <v>684</v>
      </c>
      <c r="K45" s="14">
        <v>186748</v>
      </c>
      <c r="L45" s="12">
        <v>11039</v>
      </c>
      <c r="M45" s="14">
        <v>42258243</v>
      </c>
      <c r="N45" s="17">
        <v>10740</v>
      </c>
      <c r="O45" s="68">
        <v>310</v>
      </c>
      <c r="P45" s="68">
        <v>69</v>
      </c>
      <c r="Q45" s="69">
        <v>11119</v>
      </c>
      <c r="R45" s="20" t="s">
        <v>55</v>
      </c>
    </row>
    <row r="46" spans="1:18" ht="18.75" customHeight="1">
      <c r="A46" s="11" t="s">
        <v>56</v>
      </c>
      <c r="B46" s="12">
        <f>_xlfn.COMPOUNDVALUE(795)</f>
        <v>6638</v>
      </c>
      <c r="C46" s="13">
        <v>89940784</v>
      </c>
      <c r="D46" s="12">
        <f>_xlfn.COMPOUNDVALUE(796)</f>
        <v>2781</v>
      </c>
      <c r="E46" s="13">
        <v>1147468</v>
      </c>
      <c r="F46" s="12">
        <f>_xlfn.COMPOUNDVALUE(797)</f>
        <v>9419</v>
      </c>
      <c r="G46" s="13">
        <v>91088251</v>
      </c>
      <c r="H46" s="12">
        <f>_xlfn.COMPOUNDVALUE(798)</f>
        <v>872</v>
      </c>
      <c r="I46" s="14">
        <v>44296051</v>
      </c>
      <c r="J46" s="12">
        <v>682</v>
      </c>
      <c r="K46" s="14">
        <v>334707</v>
      </c>
      <c r="L46" s="12">
        <v>10422</v>
      </c>
      <c r="M46" s="14">
        <v>47126908</v>
      </c>
      <c r="N46" s="17">
        <v>10473</v>
      </c>
      <c r="O46" s="68">
        <v>370</v>
      </c>
      <c r="P46" s="68">
        <v>85</v>
      </c>
      <c r="Q46" s="69">
        <v>10928</v>
      </c>
      <c r="R46" s="20" t="s">
        <v>56</v>
      </c>
    </row>
    <row r="47" spans="1:18" ht="18.75" customHeight="1">
      <c r="A47" s="11" t="s">
        <v>57</v>
      </c>
      <c r="B47" s="12">
        <f>_xlfn.COMPOUNDVALUE(799)</f>
        <v>3121</v>
      </c>
      <c r="C47" s="13">
        <v>52533674</v>
      </c>
      <c r="D47" s="12">
        <f>_xlfn.COMPOUNDVALUE(800)</f>
        <v>1240</v>
      </c>
      <c r="E47" s="13">
        <v>456821</v>
      </c>
      <c r="F47" s="12">
        <f>_xlfn.COMPOUNDVALUE(801)</f>
        <v>4361</v>
      </c>
      <c r="G47" s="13">
        <v>52990495</v>
      </c>
      <c r="H47" s="12">
        <f>_xlfn.COMPOUNDVALUE(802)</f>
        <v>416</v>
      </c>
      <c r="I47" s="14">
        <v>4613796</v>
      </c>
      <c r="J47" s="12">
        <v>288</v>
      </c>
      <c r="K47" s="14">
        <v>-180840</v>
      </c>
      <c r="L47" s="12">
        <v>4846</v>
      </c>
      <c r="M47" s="14">
        <v>48195858</v>
      </c>
      <c r="N47" s="17">
        <v>4988</v>
      </c>
      <c r="O47" s="68">
        <v>152</v>
      </c>
      <c r="P47" s="68">
        <v>46</v>
      </c>
      <c r="Q47" s="69">
        <v>5186</v>
      </c>
      <c r="R47" s="20" t="s">
        <v>57</v>
      </c>
    </row>
    <row r="48" spans="1:18" ht="18.75" customHeight="1">
      <c r="A48" s="11" t="s">
        <v>58</v>
      </c>
      <c r="B48" s="12">
        <f>_xlfn.COMPOUNDVALUE(803)</f>
        <v>8644</v>
      </c>
      <c r="C48" s="13">
        <v>153742443</v>
      </c>
      <c r="D48" s="12">
        <f>_xlfn.COMPOUNDVALUE(804)</f>
        <v>2839</v>
      </c>
      <c r="E48" s="13">
        <v>1206643</v>
      </c>
      <c r="F48" s="12">
        <f>_xlfn.COMPOUNDVALUE(805)</f>
        <v>11483</v>
      </c>
      <c r="G48" s="13">
        <v>154949085</v>
      </c>
      <c r="H48" s="12">
        <f>_xlfn.COMPOUNDVALUE(806)</f>
        <v>2074</v>
      </c>
      <c r="I48" s="14">
        <v>31675629</v>
      </c>
      <c r="J48" s="12">
        <v>940</v>
      </c>
      <c r="K48" s="14">
        <v>28199</v>
      </c>
      <c r="L48" s="12">
        <v>13731</v>
      </c>
      <c r="M48" s="14">
        <v>123301655</v>
      </c>
      <c r="N48" s="17">
        <v>12229</v>
      </c>
      <c r="O48" s="68">
        <v>676</v>
      </c>
      <c r="P48" s="68">
        <v>171</v>
      </c>
      <c r="Q48" s="69">
        <v>13076</v>
      </c>
      <c r="R48" s="20" t="s">
        <v>58</v>
      </c>
    </row>
    <row r="49" spans="1:18" ht="18.75" customHeight="1">
      <c r="A49" s="11" t="s">
        <v>59</v>
      </c>
      <c r="B49" s="12">
        <f>_xlfn.COMPOUNDVALUE(807)</f>
        <v>5197</v>
      </c>
      <c r="C49" s="13">
        <v>36615644</v>
      </c>
      <c r="D49" s="12">
        <f>_xlfn.COMPOUNDVALUE(808)</f>
        <v>2001</v>
      </c>
      <c r="E49" s="13">
        <v>725959</v>
      </c>
      <c r="F49" s="12">
        <f>_xlfn.COMPOUNDVALUE(809)</f>
        <v>7198</v>
      </c>
      <c r="G49" s="13">
        <v>37341603</v>
      </c>
      <c r="H49" s="12">
        <f>_xlfn.COMPOUNDVALUE(810)</f>
        <v>768</v>
      </c>
      <c r="I49" s="14">
        <v>7415391</v>
      </c>
      <c r="J49" s="12">
        <v>571</v>
      </c>
      <c r="K49" s="14">
        <v>126650</v>
      </c>
      <c r="L49" s="12">
        <v>8099</v>
      </c>
      <c r="M49" s="14">
        <v>30052861</v>
      </c>
      <c r="N49" s="17">
        <v>8386</v>
      </c>
      <c r="O49" s="68">
        <v>302</v>
      </c>
      <c r="P49" s="68">
        <v>91</v>
      </c>
      <c r="Q49" s="69">
        <v>8779</v>
      </c>
      <c r="R49" s="20" t="s">
        <v>59</v>
      </c>
    </row>
    <row r="50" spans="1:18" ht="18.75" customHeight="1">
      <c r="A50" s="11" t="s">
        <v>60</v>
      </c>
      <c r="B50" s="12">
        <f>_xlfn.COMPOUNDVALUE(811)</f>
        <v>10611</v>
      </c>
      <c r="C50" s="13">
        <v>33340389</v>
      </c>
      <c r="D50" s="12">
        <f>_xlfn.COMPOUNDVALUE(812)</f>
        <v>5340</v>
      </c>
      <c r="E50" s="13">
        <v>1708263</v>
      </c>
      <c r="F50" s="12">
        <f>_xlfn.COMPOUNDVALUE(813)</f>
        <v>15951</v>
      </c>
      <c r="G50" s="13">
        <v>35048652</v>
      </c>
      <c r="H50" s="12">
        <f>_xlfn.COMPOUNDVALUE(814)</f>
        <v>842</v>
      </c>
      <c r="I50" s="14">
        <v>6983615</v>
      </c>
      <c r="J50" s="12">
        <v>910</v>
      </c>
      <c r="K50" s="14">
        <v>132958</v>
      </c>
      <c r="L50" s="12">
        <v>17071</v>
      </c>
      <c r="M50" s="14">
        <v>28197995</v>
      </c>
      <c r="N50" s="17">
        <v>16822</v>
      </c>
      <c r="O50" s="68">
        <v>414</v>
      </c>
      <c r="P50" s="68">
        <v>57</v>
      </c>
      <c r="Q50" s="69">
        <v>17293</v>
      </c>
      <c r="R50" s="20" t="s">
        <v>60</v>
      </c>
    </row>
    <row r="51" spans="1:18" ht="18.75" customHeight="1">
      <c r="A51" s="11" t="s">
        <v>61</v>
      </c>
      <c r="B51" s="12">
        <f>_xlfn.COMPOUNDVALUE(815)</f>
        <v>4068</v>
      </c>
      <c r="C51" s="13">
        <v>9008107</v>
      </c>
      <c r="D51" s="12">
        <f>_xlfn.COMPOUNDVALUE(816)</f>
        <v>1929</v>
      </c>
      <c r="E51" s="13">
        <v>569666</v>
      </c>
      <c r="F51" s="12">
        <f>_xlfn.COMPOUNDVALUE(817)</f>
        <v>5997</v>
      </c>
      <c r="G51" s="13">
        <v>9577773</v>
      </c>
      <c r="H51" s="12">
        <f>_xlfn.COMPOUNDVALUE(818)</f>
        <v>260</v>
      </c>
      <c r="I51" s="14">
        <v>564410</v>
      </c>
      <c r="J51" s="12">
        <v>398</v>
      </c>
      <c r="K51" s="14">
        <v>63234</v>
      </c>
      <c r="L51" s="12">
        <v>6382</v>
      </c>
      <c r="M51" s="14">
        <v>9076596</v>
      </c>
      <c r="N51" s="17">
        <v>6441</v>
      </c>
      <c r="O51" s="68">
        <v>130</v>
      </c>
      <c r="P51" s="68">
        <v>17</v>
      </c>
      <c r="Q51" s="69">
        <v>6588</v>
      </c>
      <c r="R51" s="20" t="s">
        <v>61</v>
      </c>
    </row>
    <row r="52" spans="1:18" ht="18.75" customHeight="1">
      <c r="A52" s="11" t="s">
        <v>62</v>
      </c>
      <c r="B52" s="12">
        <f>_xlfn.COMPOUNDVALUE(819)</f>
        <v>7715</v>
      </c>
      <c r="C52" s="13">
        <v>26171438</v>
      </c>
      <c r="D52" s="12">
        <f>_xlfn.COMPOUNDVALUE(820)</f>
        <v>5253</v>
      </c>
      <c r="E52" s="13">
        <v>1640346</v>
      </c>
      <c r="F52" s="12">
        <f>_xlfn.COMPOUNDVALUE(821)</f>
        <v>12968</v>
      </c>
      <c r="G52" s="13">
        <v>27811784</v>
      </c>
      <c r="H52" s="12">
        <f>_xlfn.COMPOUNDVALUE(822)</f>
        <v>732</v>
      </c>
      <c r="I52" s="14">
        <v>1060054</v>
      </c>
      <c r="J52" s="12">
        <v>915</v>
      </c>
      <c r="K52" s="14">
        <v>137182</v>
      </c>
      <c r="L52" s="12">
        <v>13970</v>
      </c>
      <c r="M52" s="14">
        <v>26888912</v>
      </c>
      <c r="N52" s="17">
        <v>14376</v>
      </c>
      <c r="O52" s="68">
        <v>375</v>
      </c>
      <c r="P52" s="68">
        <v>54</v>
      </c>
      <c r="Q52" s="69">
        <v>14805</v>
      </c>
      <c r="R52" s="20" t="s">
        <v>62</v>
      </c>
    </row>
    <row r="53" spans="1:18" ht="18.75" customHeight="1">
      <c r="A53" s="11" t="s">
        <v>63</v>
      </c>
      <c r="B53" s="12">
        <f>_xlfn.COMPOUNDVALUE(823)</f>
        <v>5695</v>
      </c>
      <c r="C53" s="13">
        <v>24713514</v>
      </c>
      <c r="D53" s="12">
        <f>_xlfn.COMPOUNDVALUE(824)</f>
        <v>3381</v>
      </c>
      <c r="E53" s="13">
        <v>1137462</v>
      </c>
      <c r="F53" s="12">
        <f>_xlfn.COMPOUNDVALUE(825)</f>
        <v>9076</v>
      </c>
      <c r="G53" s="13">
        <v>25850976</v>
      </c>
      <c r="H53" s="12">
        <f>_xlfn.COMPOUNDVALUE(826)</f>
        <v>520</v>
      </c>
      <c r="I53" s="14">
        <v>1625709</v>
      </c>
      <c r="J53" s="12">
        <v>626</v>
      </c>
      <c r="K53" s="14">
        <v>-310885</v>
      </c>
      <c r="L53" s="12">
        <v>9714</v>
      </c>
      <c r="M53" s="14">
        <v>23914382</v>
      </c>
      <c r="N53" s="17">
        <v>9862</v>
      </c>
      <c r="O53" s="68">
        <v>286</v>
      </c>
      <c r="P53" s="68">
        <v>37</v>
      </c>
      <c r="Q53" s="69">
        <v>10185</v>
      </c>
      <c r="R53" s="20" t="s">
        <v>63</v>
      </c>
    </row>
    <row r="54" spans="1:18" ht="18.75" customHeight="1">
      <c r="A54" s="11" t="s">
        <v>64</v>
      </c>
      <c r="B54" s="12">
        <f>_xlfn.COMPOUNDVALUE(827)</f>
        <v>4139</v>
      </c>
      <c r="C54" s="13">
        <v>12097505</v>
      </c>
      <c r="D54" s="12">
        <f>_xlfn.COMPOUNDVALUE(828)</f>
        <v>1976</v>
      </c>
      <c r="E54" s="13">
        <v>589293</v>
      </c>
      <c r="F54" s="12">
        <f>_xlfn.COMPOUNDVALUE(829)</f>
        <v>6115</v>
      </c>
      <c r="G54" s="13">
        <v>12686798</v>
      </c>
      <c r="H54" s="12">
        <f>_xlfn.COMPOUNDVALUE(830)</f>
        <v>447</v>
      </c>
      <c r="I54" s="14">
        <v>1621594</v>
      </c>
      <c r="J54" s="12">
        <v>422</v>
      </c>
      <c r="K54" s="14">
        <v>173822</v>
      </c>
      <c r="L54" s="12">
        <v>6688</v>
      </c>
      <c r="M54" s="14">
        <v>11239027</v>
      </c>
      <c r="N54" s="17">
        <v>6791</v>
      </c>
      <c r="O54" s="68">
        <v>184</v>
      </c>
      <c r="P54" s="68">
        <v>19</v>
      </c>
      <c r="Q54" s="69">
        <v>6994</v>
      </c>
      <c r="R54" s="20" t="s">
        <v>64</v>
      </c>
    </row>
    <row r="55" spans="1:18" ht="18.75" customHeight="1">
      <c r="A55" s="16" t="s">
        <v>65</v>
      </c>
      <c r="B55" s="17">
        <f>_xlfn.COMPOUNDVALUE(831)</f>
        <v>6922</v>
      </c>
      <c r="C55" s="18">
        <v>17904072</v>
      </c>
      <c r="D55" s="17">
        <f>_xlfn.COMPOUNDVALUE(832)</f>
        <v>3964</v>
      </c>
      <c r="E55" s="18">
        <v>1265813</v>
      </c>
      <c r="F55" s="17">
        <f>_xlfn.COMPOUNDVALUE(833)</f>
        <v>10886</v>
      </c>
      <c r="G55" s="18">
        <v>19169885</v>
      </c>
      <c r="H55" s="17">
        <f>_xlfn.COMPOUNDVALUE(834)</f>
        <v>586</v>
      </c>
      <c r="I55" s="19">
        <v>913787</v>
      </c>
      <c r="J55" s="17">
        <v>871</v>
      </c>
      <c r="K55" s="19">
        <v>148440</v>
      </c>
      <c r="L55" s="17">
        <v>11745</v>
      </c>
      <c r="M55" s="19">
        <v>18404539</v>
      </c>
      <c r="N55" s="17">
        <v>11762</v>
      </c>
      <c r="O55" s="68">
        <v>286</v>
      </c>
      <c r="P55" s="68">
        <v>29</v>
      </c>
      <c r="Q55" s="69">
        <v>12077</v>
      </c>
      <c r="R55" s="20" t="s">
        <v>65</v>
      </c>
    </row>
    <row r="56" spans="1:18" ht="18.75" customHeight="1">
      <c r="A56" s="16" t="s">
        <v>66</v>
      </c>
      <c r="B56" s="17">
        <f>_xlfn.COMPOUNDVALUE(835)</f>
        <v>6305</v>
      </c>
      <c r="C56" s="18">
        <v>20350292</v>
      </c>
      <c r="D56" s="17">
        <f>_xlfn.COMPOUNDVALUE(836)</f>
        <v>3642</v>
      </c>
      <c r="E56" s="18">
        <v>1141662</v>
      </c>
      <c r="F56" s="17">
        <f>_xlfn.COMPOUNDVALUE(837)</f>
        <v>9947</v>
      </c>
      <c r="G56" s="18">
        <v>21491954</v>
      </c>
      <c r="H56" s="17">
        <f>_xlfn.COMPOUNDVALUE(838)</f>
        <v>436</v>
      </c>
      <c r="I56" s="19">
        <v>10768187</v>
      </c>
      <c r="J56" s="17">
        <v>648</v>
      </c>
      <c r="K56" s="19">
        <v>124695</v>
      </c>
      <c r="L56" s="17">
        <v>10595</v>
      </c>
      <c r="M56" s="19">
        <v>10848463</v>
      </c>
      <c r="N56" s="17">
        <v>10936</v>
      </c>
      <c r="O56" s="68">
        <v>290</v>
      </c>
      <c r="P56" s="68">
        <v>27</v>
      </c>
      <c r="Q56" s="69">
        <v>11253</v>
      </c>
      <c r="R56" s="20" t="s">
        <v>66</v>
      </c>
    </row>
    <row r="57" spans="1:18" ht="18.75" customHeight="1">
      <c r="A57" s="16" t="s">
        <v>67</v>
      </c>
      <c r="B57" s="17">
        <f>_xlfn.COMPOUNDVALUE(839)</f>
        <v>7384</v>
      </c>
      <c r="C57" s="18">
        <v>19120614</v>
      </c>
      <c r="D57" s="17">
        <f>_xlfn.COMPOUNDVALUE(840)</f>
        <v>4232</v>
      </c>
      <c r="E57" s="18">
        <v>1319569</v>
      </c>
      <c r="F57" s="17">
        <f>_xlfn.COMPOUNDVALUE(841)</f>
        <v>11616</v>
      </c>
      <c r="G57" s="18">
        <v>20440182</v>
      </c>
      <c r="H57" s="17">
        <f>_xlfn.COMPOUNDVALUE(842)</f>
        <v>414</v>
      </c>
      <c r="I57" s="19">
        <v>2303528</v>
      </c>
      <c r="J57" s="17">
        <v>884</v>
      </c>
      <c r="K57" s="19">
        <v>19470</v>
      </c>
      <c r="L57" s="17">
        <v>12233</v>
      </c>
      <c r="M57" s="19">
        <v>18156124</v>
      </c>
      <c r="N57" s="17">
        <v>12110</v>
      </c>
      <c r="O57" s="68">
        <v>228</v>
      </c>
      <c r="P57" s="68">
        <v>24</v>
      </c>
      <c r="Q57" s="69">
        <v>12362</v>
      </c>
      <c r="R57" s="20" t="s">
        <v>67</v>
      </c>
    </row>
    <row r="58" spans="1:18" ht="18.75" customHeight="1">
      <c r="A58" s="16" t="s">
        <v>68</v>
      </c>
      <c r="B58" s="17">
        <f>_xlfn.COMPOUNDVALUE(843)</f>
        <v>3541</v>
      </c>
      <c r="C58" s="18">
        <v>9627570</v>
      </c>
      <c r="D58" s="17">
        <f>_xlfn.COMPOUNDVALUE(844)</f>
        <v>1691</v>
      </c>
      <c r="E58" s="18">
        <v>489174</v>
      </c>
      <c r="F58" s="17">
        <f>_xlfn.COMPOUNDVALUE(845)</f>
        <v>5232</v>
      </c>
      <c r="G58" s="18">
        <v>10116744</v>
      </c>
      <c r="H58" s="17">
        <f>_xlfn.COMPOUNDVALUE(846)</f>
        <v>281</v>
      </c>
      <c r="I58" s="19">
        <v>14917385</v>
      </c>
      <c r="J58" s="17">
        <v>307</v>
      </c>
      <c r="K58" s="19">
        <v>43042</v>
      </c>
      <c r="L58" s="17">
        <v>5562</v>
      </c>
      <c r="M58" s="19">
        <v>-4757600</v>
      </c>
      <c r="N58" s="17">
        <v>5960</v>
      </c>
      <c r="O58" s="68">
        <v>140</v>
      </c>
      <c r="P58" s="68">
        <v>17</v>
      </c>
      <c r="Q58" s="69">
        <v>6117</v>
      </c>
      <c r="R58" s="20" t="s">
        <v>68</v>
      </c>
    </row>
    <row r="59" spans="1:18" ht="18.75" customHeight="1">
      <c r="A59" s="16" t="s">
        <v>69</v>
      </c>
      <c r="B59" s="17">
        <f>_xlfn.COMPOUNDVALUE(847)</f>
        <v>6697</v>
      </c>
      <c r="C59" s="18">
        <v>14295393</v>
      </c>
      <c r="D59" s="17">
        <f>_xlfn.COMPOUNDVALUE(848)</f>
        <v>3561</v>
      </c>
      <c r="E59" s="18">
        <v>1085592</v>
      </c>
      <c r="F59" s="17">
        <f>_xlfn.COMPOUNDVALUE(849)</f>
        <v>10258</v>
      </c>
      <c r="G59" s="18">
        <v>15380985</v>
      </c>
      <c r="H59" s="17">
        <f>_xlfn.COMPOUNDVALUE(850)</f>
        <v>503</v>
      </c>
      <c r="I59" s="19">
        <v>509166</v>
      </c>
      <c r="J59" s="17">
        <v>589</v>
      </c>
      <c r="K59" s="19">
        <v>91176</v>
      </c>
      <c r="L59" s="17">
        <v>10948</v>
      </c>
      <c r="M59" s="19">
        <v>14962994</v>
      </c>
      <c r="N59" s="17">
        <v>10887</v>
      </c>
      <c r="O59" s="68">
        <v>233</v>
      </c>
      <c r="P59" s="68">
        <v>33</v>
      </c>
      <c r="Q59" s="69">
        <v>11153</v>
      </c>
      <c r="R59" s="20" t="s">
        <v>69</v>
      </c>
    </row>
    <row r="60" spans="1:18" ht="18.75" customHeight="1">
      <c r="A60" s="16" t="s">
        <v>70</v>
      </c>
      <c r="B60" s="17">
        <f>_xlfn.COMPOUNDVALUE(851)</f>
        <v>7051</v>
      </c>
      <c r="C60" s="18">
        <v>21704083</v>
      </c>
      <c r="D60" s="17">
        <f>_xlfn.COMPOUNDVALUE(852)</f>
        <v>3798</v>
      </c>
      <c r="E60" s="18">
        <v>1225939</v>
      </c>
      <c r="F60" s="17">
        <f>_xlfn.COMPOUNDVALUE(853)</f>
        <v>10849</v>
      </c>
      <c r="G60" s="18">
        <v>22930021</v>
      </c>
      <c r="H60" s="17">
        <f>_xlfn.COMPOUNDVALUE(854)</f>
        <v>420</v>
      </c>
      <c r="I60" s="19">
        <v>19269485</v>
      </c>
      <c r="J60" s="17">
        <v>795</v>
      </c>
      <c r="K60" s="19">
        <v>34549</v>
      </c>
      <c r="L60" s="17">
        <v>11531</v>
      </c>
      <c r="M60" s="19">
        <v>3695085</v>
      </c>
      <c r="N60" s="17">
        <v>12164</v>
      </c>
      <c r="O60" s="68">
        <v>227</v>
      </c>
      <c r="P60" s="68">
        <v>30</v>
      </c>
      <c r="Q60" s="69">
        <v>12421</v>
      </c>
      <c r="R60" s="20" t="s">
        <v>70</v>
      </c>
    </row>
    <row r="61" spans="1:18" ht="18.75" customHeight="1">
      <c r="A61" s="16" t="s">
        <v>71</v>
      </c>
      <c r="B61" s="17">
        <f>_xlfn.COMPOUNDVALUE(855)</f>
        <v>10175</v>
      </c>
      <c r="C61" s="18">
        <v>29790947</v>
      </c>
      <c r="D61" s="17">
        <f>_xlfn.COMPOUNDVALUE(856)</f>
        <v>5611</v>
      </c>
      <c r="E61" s="18">
        <v>1806687</v>
      </c>
      <c r="F61" s="17">
        <f>_xlfn.COMPOUNDVALUE(857)</f>
        <v>15786</v>
      </c>
      <c r="G61" s="18">
        <v>31597634</v>
      </c>
      <c r="H61" s="17">
        <f>_xlfn.COMPOUNDVALUE(858)</f>
        <v>710</v>
      </c>
      <c r="I61" s="19">
        <v>1363948</v>
      </c>
      <c r="J61" s="17">
        <v>931</v>
      </c>
      <c r="K61" s="19">
        <v>121644</v>
      </c>
      <c r="L61" s="17">
        <v>16678</v>
      </c>
      <c r="M61" s="19">
        <v>30355330</v>
      </c>
      <c r="N61" s="17">
        <v>17015</v>
      </c>
      <c r="O61" s="68">
        <v>304</v>
      </c>
      <c r="P61" s="68">
        <v>47</v>
      </c>
      <c r="Q61" s="69">
        <v>17366</v>
      </c>
      <c r="R61" s="20" t="s">
        <v>71</v>
      </c>
    </row>
    <row r="62" spans="1:18" ht="18.75" customHeight="1">
      <c r="A62" s="21" t="s">
        <v>72</v>
      </c>
      <c r="B62" s="22">
        <v>156067</v>
      </c>
      <c r="C62" s="23">
        <v>826271403</v>
      </c>
      <c r="D62" s="22">
        <v>78508</v>
      </c>
      <c r="E62" s="23">
        <v>25609982</v>
      </c>
      <c r="F62" s="22">
        <v>234575</v>
      </c>
      <c r="G62" s="23">
        <v>851881384</v>
      </c>
      <c r="H62" s="22">
        <v>15736</v>
      </c>
      <c r="I62" s="24">
        <v>197463907</v>
      </c>
      <c r="J62" s="22">
        <v>15977</v>
      </c>
      <c r="K62" s="24">
        <v>2139084</v>
      </c>
      <c r="L62" s="22">
        <v>254374</v>
      </c>
      <c r="M62" s="24">
        <v>656556561</v>
      </c>
      <c r="N62" s="22">
        <v>255807</v>
      </c>
      <c r="O62" s="59">
        <v>6752</v>
      </c>
      <c r="P62" s="59">
        <v>1135</v>
      </c>
      <c r="Q62" s="60">
        <v>263694</v>
      </c>
      <c r="R62" s="25" t="s">
        <v>133</v>
      </c>
    </row>
    <row r="63" spans="1:18" ht="18.75" customHeight="1">
      <c r="A63" s="35"/>
      <c r="B63" s="36"/>
      <c r="C63" s="37"/>
      <c r="D63" s="36"/>
      <c r="E63" s="37"/>
      <c r="F63" s="38"/>
      <c r="G63" s="37"/>
      <c r="H63" s="38"/>
      <c r="I63" s="37"/>
      <c r="J63" s="38"/>
      <c r="K63" s="37"/>
      <c r="L63" s="38"/>
      <c r="M63" s="37"/>
      <c r="N63" s="61"/>
      <c r="O63" s="62"/>
      <c r="P63" s="62"/>
      <c r="Q63" s="63"/>
      <c r="R63" s="64" t="s">
        <v>130</v>
      </c>
    </row>
    <row r="64" spans="1:18" ht="18.75" customHeight="1">
      <c r="A64" s="11" t="s">
        <v>73</v>
      </c>
      <c r="B64" s="12">
        <f>_xlfn.COMPOUNDVALUE(859)</f>
        <v>1668</v>
      </c>
      <c r="C64" s="13">
        <v>7614951</v>
      </c>
      <c r="D64" s="12">
        <f>_xlfn.COMPOUNDVALUE(860)</f>
        <v>1062</v>
      </c>
      <c r="E64" s="13">
        <v>341665</v>
      </c>
      <c r="F64" s="12">
        <f>_xlfn.COMPOUNDVALUE(861)</f>
        <v>2730</v>
      </c>
      <c r="G64" s="13">
        <v>7956616</v>
      </c>
      <c r="H64" s="12">
        <f>_xlfn.COMPOUNDVALUE(862)</f>
        <v>296</v>
      </c>
      <c r="I64" s="14">
        <v>502672</v>
      </c>
      <c r="J64" s="12">
        <v>207</v>
      </c>
      <c r="K64" s="14">
        <v>35616</v>
      </c>
      <c r="L64" s="12">
        <v>3086</v>
      </c>
      <c r="M64" s="14">
        <v>7489560</v>
      </c>
      <c r="N64" s="17">
        <v>2947</v>
      </c>
      <c r="O64" s="68">
        <v>131</v>
      </c>
      <c r="P64" s="68">
        <v>5</v>
      </c>
      <c r="Q64" s="69">
        <v>3083</v>
      </c>
      <c r="R64" s="20" t="s">
        <v>73</v>
      </c>
    </row>
    <row r="65" spans="1:18" ht="18.75" customHeight="1">
      <c r="A65" s="11" t="s">
        <v>74</v>
      </c>
      <c r="B65" s="12">
        <f>_xlfn.COMPOUNDVALUE(863)</f>
        <v>4956</v>
      </c>
      <c r="C65" s="13">
        <v>16734301</v>
      </c>
      <c r="D65" s="12">
        <f>_xlfn.COMPOUNDVALUE(864)</f>
        <v>2564</v>
      </c>
      <c r="E65" s="13">
        <v>782091</v>
      </c>
      <c r="F65" s="12">
        <f>_xlfn.COMPOUNDVALUE(865)</f>
        <v>7520</v>
      </c>
      <c r="G65" s="13">
        <v>17516392</v>
      </c>
      <c r="H65" s="12">
        <f>_xlfn.COMPOUNDVALUE(866)</f>
        <v>542</v>
      </c>
      <c r="I65" s="14">
        <v>2201573</v>
      </c>
      <c r="J65" s="12">
        <v>505</v>
      </c>
      <c r="K65" s="14">
        <v>44653</v>
      </c>
      <c r="L65" s="12">
        <v>8191</v>
      </c>
      <c r="M65" s="14">
        <v>15359473</v>
      </c>
      <c r="N65" s="17">
        <v>8512</v>
      </c>
      <c r="O65" s="68">
        <v>279</v>
      </c>
      <c r="P65" s="68">
        <v>18</v>
      </c>
      <c r="Q65" s="69">
        <v>8809</v>
      </c>
      <c r="R65" s="20" t="s">
        <v>74</v>
      </c>
    </row>
    <row r="66" spans="1:18" ht="18.75" customHeight="1">
      <c r="A66" s="11" t="s">
        <v>75</v>
      </c>
      <c r="B66" s="12">
        <f>_xlfn.COMPOUNDVALUE(867)</f>
        <v>1887</v>
      </c>
      <c r="C66" s="13">
        <v>5584496</v>
      </c>
      <c r="D66" s="12">
        <f>_xlfn.COMPOUNDVALUE(868)</f>
        <v>994</v>
      </c>
      <c r="E66" s="13">
        <v>290628</v>
      </c>
      <c r="F66" s="12">
        <f>_xlfn.COMPOUNDVALUE(869)</f>
        <v>2881</v>
      </c>
      <c r="G66" s="13">
        <v>5875125</v>
      </c>
      <c r="H66" s="12">
        <f>_xlfn.COMPOUNDVALUE(870)</f>
        <v>156</v>
      </c>
      <c r="I66" s="14">
        <v>158195</v>
      </c>
      <c r="J66" s="12">
        <v>250</v>
      </c>
      <c r="K66" s="14">
        <v>62224</v>
      </c>
      <c r="L66" s="12">
        <v>3113</v>
      </c>
      <c r="M66" s="14">
        <v>5779154</v>
      </c>
      <c r="N66" s="17">
        <v>3040</v>
      </c>
      <c r="O66" s="68">
        <v>75</v>
      </c>
      <c r="P66" s="68">
        <v>2</v>
      </c>
      <c r="Q66" s="69">
        <v>3117</v>
      </c>
      <c r="R66" s="20" t="s">
        <v>75</v>
      </c>
    </row>
    <row r="67" spans="1:18" ht="18.75" customHeight="1">
      <c r="A67" s="11" t="s">
        <v>76</v>
      </c>
      <c r="B67" s="12">
        <f>_xlfn.COMPOUNDVALUE(871)</f>
        <v>2758</v>
      </c>
      <c r="C67" s="13">
        <v>4611298</v>
      </c>
      <c r="D67" s="12">
        <f>_xlfn.COMPOUNDVALUE(872)</f>
        <v>1849</v>
      </c>
      <c r="E67" s="13">
        <v>572575</v>
      </c>
      <c r="F67" s="12">
        <f>_xlfn.COMPOUNDVALUE(873)</f>
        <v>4607</v>
      </c>
      <c r="G67" s="13">
        <v>5183873</v>
      </c>
      <c r="H67" s="12">
        <f>_xlfn.COMPOUNDVALUE(874)</f>
        <v>353</v>
      </c>
      <c r="I67" s="14">
        <v>451372</v>
      </c>
      <c r="J67" s="12">
        <v>412</v>
      </c>
      <c r="K67" s="14">
        <v>67057</v>
      </c>
      <c r="L67" s="12">
        <v>5065</v>
      </c>
      <c r="M67" s="14">
        <v>4799558</v>
      </c>
      <c r="N67" s="17">
        <v>5093</v>
      </c>
      <c r="O67" s="68">
        <v>157</v>
      </c>
      <c r="P67" s="68">
        <v>17</v>
      </c>
      <c r="Q67" s="69">
        <v>5267</v>
      </c>
      <c r="R67" s="20" t="s">
        <v>76</v>
      </c>
    </row>
    <row r="68" spans="1:18" ht="18.75" customHeight="1">
      <c r="A68" s="11" t="s">
        <v>77</v>
      </c>
      <c r="B68" s="12">
        <f>_xlfn.COMPOUNDVALUE(875)</f>
        <v>5876</v>
      </c>
      <c r="C68" s="13">
        <v>57904584</v>
      </c>
      <c r="D68" s="12">
        <f>_xlfn.COMPOUNDVALUE(876)</f>
        <v>2691</v>
      </c>
      <c r="E68" s="13">
        <v>977365</v>
      </c>
      <c r="F68" s="12">
        <f>_xlfn.COMPOUNDVALUE(877)</f>
        <v>8567</v>
      </c>
      <c r="G68" s="13">
        <v>58881949</v>
      </c>
      <c r="H68" s="12">
        <f>_xlfn.COMPOUNDVALUE(878)</f>
        <v>1942</v>
      </c>
      <c r="I68" s="14">
        <v>27111176</v>
      </c>
      <c r="J68" s="12">
        <v>817</v>
      </c>
      <c r="K68" s="14">
        <v>187617</v>
      </c>
      <c r="L68" s="12">
        <v>10665</v>
      </c>
      <c r="M68" s="14">
        <v>31958390</v>
      </c>
      <c r="N68" s="17">
        <v>9654</v>
      </c>
      <c r="O68" s="68">
        <v>726</v>
      </c>
      <c r="P68" s="68">
        <v>66</v>
      </c>
      <c r="Q68" s="69">
        <v>10446</v>
      </c>
      <c r="R68" s="20" t="s">
        <v>77</v>
      </c>
    </row>
    <row r="69" spans="1:18" ht="18.75" customHeight="1">
      <c r="A69" s="11" t="s">
        <v>78</v>
      </c>
      <c r="B69" s="12">
        <f>_xlfn.COMPOUNDVALUE(879)</f>
        <v>9039</v>
      </c>
      <c r="C69" s="13">
        <v>29599652</v>
      </c>
      <c r="D69" s="12">
        <f>_xlfn.COMPOUNDVALUE(880)</f>
        <v>4638</v>
      </c>
      <c r="E69" s="13">
        <v>1458533</v>
      </c>
      <c r="F69" s="12">
        <f>_xlfn.COMPOUNDVALUE(881)</f>
        <v>13677</v>
      </c>
      <c r="G69" s="13">
        <v>31058185</v>
      </c>
      <c r="H69" s="12">
        <f>_xlfn.COMPOUNDVALUE(882)</f>
        <v>470</v>
      </c>
      <c r="I69" s="14">
        <v>2181815</v>
      </c>
      <c r="J69" s="12">
        <v>838</v>
      </c>
      <c r="K69" s="14">
        <v>150843</v>
      </c>
      <c r="L69" s="12">
        <v>14385</v>
      </c>
      <c r="M69" s="14">
        <v>29027213</v>
      </c>
      <c r="N69" s="17">
        <v>14272</v>
      </c>
      <c r="O69" s="68">
        <v>298</v>
      </c>
      <c r="P69" s="68">
        <v>45</v>
      </c>
      <c r="Q69" s="69">
        <v>14615</v>
      </c>
      <c r="R69" s="20" t="s">
        <v>78</v>
      </c>
    </row>
    <row r="70" spans="1:18" ht="18.75" customHeight="1">
      <c r="A70" s="11" t="s">
        <v>79</v>
      </c>
      <c r="B70" s="12">
        <f>_xlfn.COMPOUNDVALUE(883)</f>
        <v>6424</v>
      </c>
      <c r="C70" s="13">
        <v>25043542</v>
      </c>
      <c r="D70" s="12">
        <f>_xlfn.COMPOUNDVALUE(884)</f>
        <v>3500</v>
      </c>
      <c r="E70" s="13">
        <v>1111010</v>
      </c>
      <c r="F70" s="12">
        <f>_xlfn.COMPOUNDVALUE(885)</f>
        <v>9924</v>
      </c>
      <c r="G70" s="13">
        <v>26154552</v>
      </c>
      <c r="H70" s="12">
        <f>_xlfn.COMPOUNDVALUE(886)</f>
        <v>488</v>
      </c>
      <c r="I70" s="14">
        <v>1179081</v>
      </c>
      <c r="J70" s="12">
        <v>752</v>
      </c>
      <c r="K70" s="14">
        <v>80255</v>
      </c>
      <c r="L70" s="12">
        <v>10634</v>
      </c>
      <c r="M70" s="14">
        <v>25055727</v>
      </c>
      <c r="N70" s="17">
        <v>10806</v>
      </c>
      <c r="O70" s="68">
        <v>228</v>
      </c>
      <c r="P70" s="68">
        <v>19</v>
      </c>
      <c r="Q70" s="69">
        <v>11053</v>
      </c>
      <c r="R70" s="20" t="s">
        <v>79</v>
      </c>
    </row>
    <row r="71" spans="1:18" ht="18.75" customHeight="1">
      <c r="A71" s="11" t="s">
        <v>80</v>
      </c>
      <c r="B71" s="12">
        <f>_xlfn.COMPOUNDVALUE(887)</f>
        <v>4887</v>
      </c>
      <c r="C71" s="13">
        <v>13287706</v>
      </c>
      <c r="D71" s="12">
        <f>_xlfn.COMPOUNDVALUE(888)</f>
        <v>3449</v>
      </c>
      <c r="E71" s="13">
        <v>1042245</v>
      </c>
      <c r="F71" s="12">
        <f>_xlfn.COMPOUNDVALUE(889)</f>
        <v>8336</v>
      </c>
      <c r="G71" s="13">
        <v>14329951</v>
      </c>
      <c r="H71" s="12">
        <f>_xlfn.COMPOUNDVALUE(890)</f>
        <v>415</v>
      </c>
      <c r="I71" s="14">
        <v>697490</v>
      </c>
      <c r="J71" s="12">
        <v>533</v>
      </c>
      <c r="K71" s="14">
        <v>39464</v>
      </c>
      <c r="L71" s="12">
        <v>8925</v>
      </c>
      <c r="M71" s="14">
        <v>13671924</v>
      </c>
      <c r="N71" s="17">
        <v>8758</v>
      </c>
      <c r="O71" s="68">
        <v>243</v>
      </c>
      <c r="P71" s="68">
        <v>28</v>
      </c>
      <c r="Q71" s="69">
        <v>9029</v>
      </c>
      <c r="R71" s="20" t="s">
        <v>80</v>
      </c>
    </row>
    <row r="72" spans="1:18" ht="18.75" customHeight="1">
      <c r="A72" s="11" t="s">
        <v>81</v>
      </c>
      <c r="B72" s="12">
        <f>_xlfn.COMPOUNDVALUE(891)</f>
        <v>6388</v>
      </c>
      <c r="C72" s="13">
        <v>18240883</v>
      </c>
      <c r="D72" s="12">
        <f>_xlfn.COMPOUNDVALUE(892)</f>
        <v>4624</v>
      </c>
      <c r="E72" s="13">
        <v>1517755</v>
      </c>
      <c r="F72" s="12">
        <f>_xlfn.COMPOUNDVALUE(893)</f>
        <v>11012</v>
      </c>
      <c r="G72" s="13">
        <v>19758638</v>
      </c>
      <c r="H72" s="12">
        <f>_xlfn.COMPOUNDVALUE(894)</f>
        <v>725</v>
      </c>
      <c r="I72" s="14">
        <v>1852047</v>
      </c>
      <c r="J72" s="12">
        <v>655</v>
      </c>
      <c r="K72" s="14">
        <v>69914</v>
      </c>
      <c r="L72" s="12">
        <v>11933</v>
      </c>
      <c r="M72" s="14">
        <v>17976505</v>
      </c>
      <c r="N72" s="17">
        <v>12261</v>
      </c>
      <c r="O72" s="68">
        <v>369</v>
      </c>
      <c r="P72" s="68">
        <v>56</v>
      </c>
      <c r="Q72" s="69">
        <v>12686</v>
      </c>
      <c r="R72" s="20" t="s">
        <v>81</v>
      </c>
    </row>
    <row r="73" spans="1:18" ht="18.75" customHeight="1">
      <c r="A73" s="11" t="s">
        <v>82</v>
      </c>
      <c r="B73" s="12">
        <f>_xlfn.COMPOUNDVALUE(895)</f>
        <v>2200</v>
      </c>
      <c r="C73" s="13">
        <v>4574796</v>
      </c>
      <c r="D73" s="12">
        <f>_xlfn.COMPOUNDVALUE(896)</f>
        <v>2321</v>
      </c>
      <c r="E73" s="13">
        <v>585295</v>
      </c>
      <c r="F73" s="12">
        <f>_xlfn.COMPOUNDVALUE(897)</f>
        <v>4521</v>
      </c>
      <c r="G73" s="13">
        <v>5160091</v>
      </c>
      <c r="H73" s="12">
        <f>_xlfn.COMPOUNDVALUE(898)</f>
        <v>139</v>
      </c>
      <c r="I73" s="14">
        <v>141102</v>
      </c>
      <c r="J73" s="12">
        <v>245</v>
      </c>
      <c r="K73" s="14">
        <v>35335</v>
      </c>
      <c r="L73" s="12">
        <v>4714</v>
      </c>
      <c r="M73" s="14">
        <v>5054324</v>
      </c>
      <c r="N73" s="12">
        <v>4565</v>
      </c>
      <c r="O73" s="162">
        <v>95</v>
      </c>
      <c r="P73" s="162">
        <v>7</v>
      </c>
      <c r="Q73" s="161">
        <v>4667</v>
      </c>
      <c r="R73" s="15" t="s">
        <v>82</v>
      </c>
    </row>
    <row r="74" spans="1:18" ht="18.75" customHeight="1">
      <c r="A74" s="11" t="s">
        <v>83</v>
      </c>
      <c r="B74" s="12">
        <f>_xlfn.COMPOUNDVALUE(899)</f>
        <v>3545</v>
      </c>
      <c r="C74" s="13">
        <v>18054416</v>
      </c>
      <c r="D74" s="12">
        <f>_xlfn.COMPOUNDVALUE(900)</f>
        <v>2264</v>
      </c>
      <c r="E74" s="13">
        <v>783929</v>
      </c>
      <c r="F74" s="12">
        <f>_xlfn.COMPOUNDVALUE(901)</f>
        <v>5809</v>
      </c>
      <c r="G74" s="13">
        <v>18838344</v>
      </c>
      <c r="H74" s="12">
        <f>_xlfn.COMPOUNDVALUE(902)</f>
        <v>603</v>
      </c>
      <c r="I74" s="14">
        <v>1974094</v>
      </c>
      <c r="J74" s="12">
        <v>391</v>
      </c>
      <c r="K74" s="14">
        <v>8622</v>
      </c>
      <c r="L74" s="12">
        <v>6520</v>
      </c>
      <c r="M74" s="14">
        <v>16872872</v>
      </c>
      <c r="N74" s="17">
        <v>6524</v>
      </c>
      <c r="O74" s="68">
        <v>325</v>
      </c>
      <c r="P74" s="68">
        <v>20</v>
      </c>
      <c r="Q74" s="69">
        <v>6869</v>
      </c>
      <c r="R74" s="20" t="s">
        <v>83</v>
      </c>
    </row>
    <row r="75" spans="1:18" ht="18.75" customHeight="1">
      <c r="A75" s="11" t="s">
        <v>84</v>
      </c>
      <c r="B75" s="12">
        <f>_xlfn.COMPOUNDVALUE(903)</f>
        <v>3586</v>
      </c>
      <c r="C75" s="13">
        <v>10875435</v>
      </c>
      <c r="D75" s="12">
        <f>_xlfn.COMPOUNDVALUE(904)</f>
        <v>2405</v>
      </c>
      <c r="E75" s="13">
        <v>732783</v>
      </c>
      <c r="F75" s="12">
        <f>_xlfn.COMPOUNDVALUE(905)</f>
        <v>5991</v>
      </c>
      <c r="G75" s="13">
        <v>11608218</v>
      </c>
      <c r="H75" s="12">
        <f>_xlfn.COMPOUNDVALUE(906)</f>
        <v>368</v>
      </c>
      <c r="I75" s="14">
        <v>726617</v>
      </c>
      <c r="J75" s="12">
        <v>475</v>
      </c>
      <c r="K75" s="14">
        <v>36678</v>
      </c>
      <c r="L75" s="12">
        <v>6497</v>
      </c>
      <c r="M75" s="14">
        <v>10918278</v>
      </c>
      <c r="N75" s="12">
        <v>6637</v>
      </c>
      <c r="O75" s="162">
        <v>184</v>
      </c>
      <c r="P75" s="162">
        <v>17</v>
      </c>
      <c r="Q75" s="161">
        <v>6838</v>
      </c>
      <c r="R75" s="15" t="s">
        <v>84</v>
      </c>
    </row>
    <row r="76" spans="1:18" ht="18.75" customHeight="1">
      <c r="A76" s="11" t="s">
        <v>85</v>
      </c>
      <c r="B76" s="12">
        <f>_xlfn.COMPOUNDVALUE(907)</f>
        <v>1318</v>
      </c>
      <c r="C76" s="13">
        <v>3143170</v>
      </c>
      <c r="D76" s="12">
        <f>_xlfn.COMPOUNDVALUE(908)</f>
        <v>815</v>
      </c>
      <c r="E76" s="13">
        <v>245394</v>
      </c>
      <c r="F76" s="12">
        <f>_xlfn.COMPOUNDVALUE(909)</f>
        <v>2133</v>
      </c>
      <c r="G76" s="13">
        <v>3388564</v>
      </c>
      <c r="H76" s="12">
        <f>_xlfn.COMPOUNDVALUE(910)</f>
        <v>80</v>
      </c>
      <c r="I76" s="14">
        <v>117504</v>
      </c>
      <c r="J76" s="12">
        <v>118</v>
      </c>
      <c r="K76" s="14">
        <v>28584</v>
      </c>
      <c r="L76" s="12">
        <v>2226</v>
      </c>
      <c r="M76" s="14">
        <v>3299644</v>
      </c>
      <c r="N76" s="17">
        <v>2188</v>
      </c>
      <c r="O76" s="68">
        <v>62</v>
      </c>
      <c r="P76" s="68">
        <v>2</v>
      </c>
      <c r="Q76" s="69">
        <v>2252</v>
      </c>
      <c r="R76" s="20" t="s">
        <v>85</v>
      </c>
    </row>
    <row r="77" spans="1:18" ht="18.75" customHeight="1">
      <c r="A77" s="11" t="s">
        <v>86</v>
      </c>
      <c r="B77" s="12">
        <f>_xlfn.COMPOUNDVALUE(911)</f>
        <v>2021</v>
      </c>
      <c r="C77" s="13">
        <v>4063062</v>
      </c>
      <c r="D77" s="12">
        <f>_xlfn.COMPOUNDVALUE(912)</f>
        <v>1244</v>
      </c>
      <c r="E77" s="13">
        <v>346474</v>
      </c>
      <c r="F77" s="12">
        <f>_xlfn.COMPOUNDVALUE(913)</f>
        <v>3265</v>
      </c>
      <c r="G77" s="13">
        <v>4409536</v>
      </c>
      <c r="H77" s="12">
        <f>_xlfn.COMPOUNDVALUE(914)</f>
        <v>80</v>
      </c>
      <c r="I77" s="14">
        <v>81430</v>
      </c>
      <c r="J77" s="12">
        <v>146</v>
      </c>
      <c r="K77" s="14">
        <v>32268</v>
      </c>
      <c r="L77" s="12">
        <v>3388</v>
      </c>
      <c r="M77" s="14">
        <v>4360375</v>
      </c>
      <c r="N77" s="17">
        <v>3288</v>
      </c>
      <c r="O77" s="68">
        <v>88</v>
      </c>
      <c r="P77" s="68">
        <v>4</v>
      </c>
      <c r="Q77" s="69">
        <v>3380</v>
      </c>
      <c r="R77" s="20" t="s">
        <v>86</v>
      </c>
    </row>
    <row r="78" spans="1:18" ht="18.75" customHeight="1">
      <c r="A78" s="16" t="s">
        <v>87</v>
      </c>
      <c r="B78" s="17">
        <f>_xlfn.COMPOUNDVALUE(915)</f>
        <v>4485</v>
      </c>
      <c r="C78" s="18">
        <v>11573125</v>
      </c>
      <c r="D78" s="17">
        <f>_xlfn.COMPOUNDVALUE(916)</f>
        <v>2327</v>
      </c>
      <c r="E78" s="18">
        <v>759610</v>
      </c>
      <c r="F78" s="17">
        <f>_xlfn.COMPOUNDVALUE(917)</f>
        <v>6812</v>
      </c>
      <c r="G78" s="18">
        <v>12332735</v>
      </c>
      <c r="H78" s="17">
        <f>_xlfn.COMPOUNDVALUE(918)</f>
        <v>280</v>
      </c>
      <c r="I78" s="19">
        <v>1596304</v>
      </c>
      <c r="J78" s="17">
        <v>446</v>
      </c>
      <c r="K78" s="19">
        <v>68578</v>
      </c>
      <c r="L78" s="17">
        <v>7239</v>
      </c>
      <c r="M78" s="19">
        <v>10805009</v>
      </c>
      <c r="N78" s="17">
        <v>7304</v>
      </c>
      <c r="O78" s="68">
        <v>170</v>
      </c>
      <c r="P78" s="68">
        <v>22</v>
      </c>
      <c r="Q78" s="69">
        <v>7496</v>
      </c>
      <c r="R78" s="20" t="s">
        <v>87</v>
      </c>
    </row>
    <row r="79" spans="1:18" ht="18.75" customHeight="1">
      <c r="A79" s="16" t="s">
        <v>88</v>
      </c>
      <c r="B79" s="17">
        <f>_xlfn.COMPOUNDVALUE(919)</f>
        <v>2182</v>
      </c>
      <c r="C79" s="18">
        <v>4589999</v>
      </c>
      <c r="D79" s="17">
        <f>_xlfn.COMPOUNDVALUE(920)</f>
        <v>1616</v>
      </c>
      <c r="E79" s="18">
        <v>511004</v>
      </c>
      <c r="F79" s="17">
        <f>_xlfn.COMPOUNDVALUE(921)</f>
        <v>3798</v>
      </c>
      <c r="G79" s="18">
        <v>5101003</v>
      </c>
      <c r="H79" s="17">
        <f>_xlfn.COMPOUNDVALUE(922)</f>
        <v>132</v>
      </c>
      <c r="I79" s="19">
        <v>528515</v>
      </c>
      <c r="J79" s="17">
        <v>201</v>
      </c>
      <c r="K79" s="19">
        <v>19803</v>
      </c>
      <c r="L79" s="17">
        <v>3975</v>
      </c>
      <c r="M79" s="19">
        <v>4592292</v>
      </c>
      <c r="N79" s="17">
        <v>3907</v>
      </c>
      <c r="O79" s="68">
        <v>55</v>
      </c>
      <c r="P79" s="68">
        <v>4</v>
      </c>
      <c r="Q79" s="69">
        <v>3966</v>
      </c>
      <c r="R79" s="20" t="s">
        <v>88</v>
      </c>
    </row>
    <row r="80" spans="1:18" ht="18.75" customHeight="1">
      <c r="A80" s="16" t="s">
        <v>89</v>
      </c>
      <c r="B80" s="17">
        <f>_xlfn.COMPOUNDVALUE(923)</f>
        <v>1079</v>
      </c>
      <c r="C80" s="18">
        <v>2683299</v>
      </c>
      <c r="D80" s="17">
        <f>_xlfn.COMPOUNDVALUE(924)</f>
        <v>720</v>
      </c>
      <c r="E80" s="18">
        <v>211872</v>
      </c>
      <c r="F80" s="17">
        <f>_xlfn.COMPOUNDVALUE(925)</f>
        <v>1799</v>
      </c>
      <c r="G80" s="18">
        <v>2895171</v>
      </c>
      <c r="H80" s="17">
        <f>_xlfn.COMPOUNDVALUE(926)</f>
        <v>66</v>
      </c>
      <c r="I80" s="19">
        <v>58429</v>
      </c>
      <c r="J80" s="17">
        <v>81</v>
      </c>
      <c r="K80" s="19">
        <v>5285</v>
      </c>
      <c r="L80" s="17">
        <v>1888</v>
      </c>
      <c r="M80" s="19">
        <v>2842027</v>
      </c>
      <c r="N80" s="17">
        <v>1854</v>
      </c>
      <c r="O80" s="68">
        <v>20</v>
      </c>
      <c r="P80" s="68">
        <v>4</v>
      </c>
      <c r="Q80" s="69">
        <v>1878</v>
      </c>
      <c r="R80" s="20" t="s">
        <v>89</v>
      </c>
    </row>
    <row r="81" spans="1:18" ht="18.75" customHeight="1">
      <c r="A81" s="16" t="s">
        <v>90</v>
      </c>
      <c r="B81" s="17">
        <f>_xlfn.COMPOUNDVALUE(927)</f>
        <v>1139</v>
      </c>
      <c r="C81" s="18">
        <v>2612944</v>
      </c>
      <c r="D81" s="17">
        <f>_xlfn.COMPOUNDVALUE(928)</f>
        <v>588</v>
      </c>
      <c r="E81" s="18">
        <v>165287</v>
      </c>
      <c r="F81" s="17">
        <f>_xlfn.COMPOUNDVALUE(929)</f>
        <v>1727</v>
      </c>
      <c r="G81" s="18">
        <v>2778231</v>
      </c>
      <c r="H81" s="17">
        <f>_xlfn.COMPOUNDVALUE(930)</f>
        <v>151</v>
      </c>
      <c r="I81" s="19">
        <v>407303</v>
      </c>
      <c r="J81" s="17">
        <v>112</v>
      </c>
      <c r="K81" s="19">
        <v>5835</v>
      </c>
      <c r="L81" s="17">
        <v>1895</v>
      </c>
      <c r="M81" s="19">
        <v>2376762</v>
      </c>
      <c r="N81" s="17">
        <v>1865</v>
      </c>
      <c r="O81" s="68">
        <v>54</v>
      </c>
      <c r="P81" s="68">
        <v>4</v>
      </c>
      <c r="Q81" s="69">
        <v>1923</v>
      </c>
      <c r="R81" s="20" t="s">
        <v>90</v>
      </c>
    </row>
    <row r="82" spans="1:18" ht="18.75" customHeight="1">
      <c r="A82" s="16" t="s">
        <v>91</v>
      </c>
      <c r="B82" s="17">
        <f>_xlfn.COMPOUNDVALUE(931)</f>
        <v>1892</v>
      </c>
      <c r="C82" s="18">
        <v>5136473</v>
      </c>
      <c r="D82" s="17">
        <f>_xlfn.COMPOUNDVALUE(932)</f>
        <v>1169</v>
      </c>
      <c r="E82" s="18">
        <v>355472</v>
      </c>
      <c r="F82" s="17">
        <f>_xlfn.COMPOUNDVALUE(933)</f>
        <v>3061</v>
      </c>
      <c r="G82" s="18">
        <v>5491946</v>
      </c>
      <c r="H82" s="17">
        <f>_xlfn.COMPOUNDVALUE(934)</f>
        <v>136</v>
      </c>
      <c r="I82" s="19">
        <v>335434</v>
      </c>
      <c r="J82" s="17">
        <v>208</v>
      </c>
      <c r="K82" s="19">
        <v>24329</v>
      </c>
      <c r="L82" s="17">
        <v>3246</v>
      </c>
      <c r="M82" s="19">
        <v>5180840</v>
      </c>
      <c r="N82" s="17">
        <v>3172</v>
      </c>
      <c r="O82" s="68">
        <v>68</v>
      </c>
      <c r="P82" s="68">
        <v>9</v>
      </c>
      <c r="Q82" s="69">
        <v>3249</v>
      </c>
      <c r="R82" s="20" t="s">
        <v>91</v>
      </c>
    </row>
    <row r="83" spans="1:18" ht="18.75" customHeight="1">
      <c r="A83" s="16" t="s">
        <v>92</v>
      </c>
      <c r="B83" s="17">
        <f>_xlfn.COMPOUNDVALUE(935)</f>
        <v>795</v>
      </c>
      <c r="C83" s="18">
        <v>1823743</v>
      </c>
      <c r="D83" s="17">
        <f>_xlfn.COMPOUNDVALUE(936)</f>
        <v>436</v>
      </c>
      <c r="E83" s="18">
        <v>130005</v>
      </c>
      <c r="F83" s="17">
        <f>_xlfn.COMPOUNDVALUE(937)</f>
        <v>1231</v>
      </c>
      <c r="G83" s="18">
        <v>1953748</v>
      </c>
      <c r="H83" s="17">
        <f>_xlfn.COMPOUNDVALUE(938)</f>
        <v>32</v>
      </c>
      <c r="I83" s="19">
        <v>70481</v>
      </c>
      <c r="J83" s="17">
        <v>104</v>
      </c>
      <c r="K83" s="19">
        <v>9586</v>
      </c>
      <c r="L83" s="17">
        <v>1289</v>
      </c>
      <c r="M83" s="19">
        <v>1892854</v>
      </c>
      <c r="N83" s="17">
        <v>1306</v>
      </c>
      <c r="O83" s="68">
        <v>31</v>
      </c>
      <c r="P83" s="68">
        <v>2</v>
      </c>
      <c r="Q83" s="69">
        <v>1339</v>
      </c>
      <c r="R83" s="20" t="s">
        <v>92</v>
      </c>
    </row>
    <row r="84" spans="1:18" ht="18.75" customHeight="1">
      <c r="A84" s="16" t="s">
        <v>93</v>
      </c>
      <c r="B84" s="17">
        <f>_xlfn.COMPOUNDVALUE(939)</f>
        <v>1398</v>
      </c>
      <c r="C84" s="18">
        <v>3085037</v>
      </c>
      <c r="D84" s="17">
        <f>_xlfn.COMPOUNDVALUE(940)</f>
        <v>949</v>
      </c>
      <c r="E84" s="18">
        <v>256976</v>
      </c>
      <c r="F84" s="17">
        <f>_xlfn.COMPOUNDVALUE(941)</f>
        <v>2347</v>
      </c>
      <c r="G84" s="18">
        <v>3342012</v>
      </c>
      <c r="H84" s="17">
        <f>_xlfn.COMPOUNDVALUE(942)</f>
        <v>66</v>
      </c>
      <c r="I84" s="19">
        <v>34260</v>
      </c>
      <c r="J84" s="17">
        <v>175</v>
      </c>
      <c r="K84" s="19">
        <v>28115</v>
      </c>
      <c r="L84" s="17">
        <v>2439</v>
      </c>
      <c r="M84" s="19">
        <v>3335867</v>
      </c>
      <c r="N84" s="17">
        <v>2492</v>
      </c>
      <c r="O84" s="68">
        <v>48</v>
      </c>
      <c r="P84" s="68">
        <v>3</v>
      </c>
      <c r="Q84" s="69">
        <v>2543</v>
      </c>
      <c r="R84" s="20" t="s">
        <v>93</v>
      </c>
    </row>
    <row r="85" spans="1:18" s="26" customFormat="1" ht="18.75" customHeight="1">
      <c r="A85" s="21" t="s">
        <v>94</v>
      </c>
      <c r="B85" s="22">
        <v>69523</v>
      </c>
      <c r="C85" s="23">
        <v>250836910</v>
      </c>
      <c r="D85" s="22">
        <v>42225</v>
      </c>
      <c r="E85" s="23">
        <v>13177968</v>
      </c>
      <c r="F85" s="22">
        <v>111748</v>
      </c>
      <c r="G85" s="23">
        <v>264014878</v>
      </c>
      <c r="H85" s="22">
        <v>7520</v>
      </c>
      <c r="I85" s="24">
        <v>42406892</v>
      </c>
      <c r="J85" s="22">
        <v>7671</v>
      </c>
      <c r="K85" s="24">
        <v>1040661</v>
      </c>
      <c r="L85" s="22">
        <v>121313</v>
      </c>
      <c r="M85" s="24">
        <v>222648646</v>
      </c>
      <c r="N85" s="22">
        <v>120445</v>
      </c>
      <c r="O85" s="59">
        <v>3706</v>
      </c>
      <c r="P85" s="59">
        <v>354</v>
      </c>
      <c r="Q85" s="60">
        <v>124505</v>
      </c>
      <c r="R85" s="25" t="s">
        <v>134</v>
      </c>
    </row>
    <row r="86" spans="1:18" s="45" customFormat="1" ht="18.75" customHeight="1">
      <c r="A86" s="35"/>
      <c r="B86" s="36"/>
      <c r="C86" s="37"/>
      <c r="D86" s="36"/>
      <c r="E86" s="37"/>
      <c r="F86" s="38"/>
      <c r="G86" s="37"/>
      <c r="H86" s="38"/>
      <c r="I86" s="37"/>
      <c r="J86" s="38"/>
      <c r="K86" s="37"/>
      <c r="L86" s="38"/>
      <c r="M86" s="37"/>
      <c r="N86" s="61"/>
      <c r="O86" s="62"/>
      <c r="P86" s="62"/>
      <c r="Q86" s="63"/>
      <c r="R86" s="64" t="s">
        <v>130</v>
      </c>
    </row>
    <row r="87" spans="1:18" ht="18.75" customHeight="1">
      <c r="A87" s="16" t="s">
        <v>95</v>
      </c>
      <c r="B87" s="17">
        <f>_xlfn.COMPOUNDVALUE(943)</f>
        <v>7254</v>
      </c>
      <c r="C87" s="18">
        <v>18212099</v>
      </c>
      <c r="D87" s="17">
        <f>_xlfn.COMPOUNDVALUE(944)</f>
        <v>4583</v>
      </c>
      <c r="E87" s="18">
        <v>1395553</v>
      </c>
      <c r="F87" s="17">
        <f>_xlfn.COMPOUNDVALUE(945)</f>
        <v>11837</v>
      </c>
      <c r="G87" s="18">
        <v>19607651</v>
      </c>
      <c r="H87" s="17">
        <f>_xlfn.COMPOUNDVALUE(946)</f>
        <v>668</v>
      </c>
      <c r="I87" s="19">
        <v>4848910</v>
      </c>
      <c r="J87" s="17">
        <v>781</v>
      </c>
      <c r="K87" s="19">
        <v>-113765</v>
      </c>
      <c r="L87" s="17">
        <v>12718</v>
      </c>
      <c r="M87" s="19">
        <v>14644977</v>
      </c>
      <c r="N87" s="65">
        <v>12768</v>
      </c>
      <c r="O87" s="66">
        <v>308</v>
      </c>
      <c r="P87" s="66">
        <v>30</v>
      </c>
      <c r="Q87" s="67">
        <v>13106</v>
      </c>
      <c r="R87" s="40" t="s">
        <v>95</v>
      </c>
    </row>
    <row r="88" spans="1:18" ht="18.75" customHeight="1">
      <c r="A88" s="16" t="s">
        <v>96</v>
      </c>
      <c r="B88" s="17">
        <f>_xlfn.COMPOUNDVALUE(947)</f>
        <v>5832</v>
      </c>
      <c r="C88" s="18">
        <v>10986033</v>
      </c>
      <c r="D88" s="17">
        <f>_xlfn.COMPOUNDVALUE(948)</f>
        <v>3293</v>
      </c>
      <c r="E88" s="18">
        <v>930631</v>
      </c>
      <c r="F88" s="17">
        <f>_xlfn.COMPOUNDVALUE(949)</f>
        <v>9125</v>
      </c>
      <c r="G88" s="18">
        <v>11916664</v>
      </c>
      <c r="H88" s="17">
        <f>_xlfn.COMPOUNDVALUE(950)</f>
        <v>420</v>
      </c>
      <c r="I88" s="19">
        <v>709617</v>
      </c>
      <c r="J88" s="17">
        <v>661</v>
      </c>
      <c r="K88" s="19">
        <v>172250</v>
      </c>
      <c r="L88" s="17">
        <v>9653</v>
      </c>
      <c r="M88" s="19">
        <v>11379297</v>
      </c>
      <c r="N88" s="17">
        <v>9482</v>
      </c>
      <c r="O88" s="68">
        <v>202</v>
      </c>
      <c r="P88" s="68">
        <v>20</v>
      </c>
      <c r="Q88" s="69">
        <v>9704</v>
      </c>
      <c r="R88" s="20" t="s">
        <v>96</v>
      </c>
    </row>
    <row r="89" spans="1:18" ht="18.75" customHeight="1">
      <c r="A89" s="16" t="s">
        <v>97</v>
      </c>
      <c r="B89" s="17">
        <f>_xlfn.COMPOUNDVALUE(951)</f>
        <v>2136</v>
      </c>
      <c r="C89" s="18">
        <v>3994629</v>
      </c>
      <c r="D89" s="17">
        <f>_xlfn.COMPOUNDVALUE(952)</f>
        <v>957</v>
      </c>
      <c r="E89" s="18">
        <v>260146</v>
      </c>
      <c r="F89" s="17">
        <f>_xlfn.COMPOUNDVALUE(953)</f>
        <v>3093</v>
      </c>
      <c r="G89" s="18">
        <v>4254775</v>
      </c>
      <c r="H89" s="17">
        <f>_xlfn.COMPOUNDVALUE(954)</f>
        <v>89</v>
      </c>
      <c r="I89" s="19">
        <v>144157</v>
      </c>
      <c r="J89" s="17">
        <v>260</v>
      </c>
      <c r="K89" s="19">
        <v>93065</v>
      </c>
      <c r="L89" s="17">
        <v>3223</v>
      </c>
      <c r="M89" s="19">
        <v>4203683</v>
      </c>
      <c r="N89" s="17">
        <v>3314</v>
      </c>
      <c r="O89" s="68">
        <v>43</v>
      </c>
      <c r="P89" s="68">
        <v>4</v>
      </c>
      <c r="Q89" s="69">
        <v>3361</v>
      </c>
      <c r="R89" s="20" t="s">
        <v>97</v>
      </c>
    </row>
    <row r="90" spans="1:18" ht="18.75" customHeight="1">
      <c r="A90" s="16" t="s">
        <v>98</v>
      </c>
      <c r="B90" s="17">
        <f>_xlfn.COMPOUNDVALUE(955)</f>
        <v>852</v>
      </c>
      <c r="C90" s="18">
        <v>1340747</v>
      </c>
      <c r="D90" s="17">
        <f>_xlfn.COMPOUNDVALUE(956)</f>
        <v>607</v>
      </c>
      <c r="E90" s="18">
        <v>150844</v>
      </c>
      <c r="F90" s="17">
        <f>_xlfn.COMPOUNDVALUE(957)</f>
        <v>1459</v>
      </c>
      <c r="G90" s="18">
        <v>1491591</v>
      </c>
      <c r="H90" s="17">
        <f>_xlfn.COMPOUNDVALUE(958)</f>
        <v>49</v>
      </c>
      <c r="I90" s="19">
        <v>56541</v>
      </c>
      <c r="J90" s="17">
        <v>118</v>
      </c>
      <c r="K90" s="19">
        <v>13118</v>
      </c>
      <c r="L90" s="17">
        <v>1522</v>
      </c>
      <c r="M90" s="19">
        <v>1448168</v>
      </c>
      <c r="N90" s="17">
        <v>1475</v>
      </c>
      <c r="O90" s="68">
        <v>25</v>
      </c>
      <c r="P90" s="68">
        <v>6</v>
      </c>
      <c r="Q90" s="69">
        <v>1506</v>
      </c>
      <c r="R90" s="20" t="s">
        <v>98</v>
      </c>
    </row>
    <row r="91" spans="1:18" s="26" customFormat="1" ht="18.75" customHeight="1">
      <c r="A91" s="21" t="s">
        <v>99</v>
      </c>
      <c r="B91" s="22">
        <v>16074</v>
      </c>
      <c r="C91" s="23">
        <v>34533508</v>
      </c>
      <c r="D91" s="22">
        <v>9440</v>
      </c>
      <c r="E91" s="23">
        <v>2737173</v>
      </c>
      <c r="F91" s="22">
        <v>25514</v>
      </c>
      <c r="G91" s="23">
        <v>37270681</v>
      </c>
      <c r="H91" s="22">
        <v>1226</v>
      </c>
      <c r="I91" s="24">
        <v>5759224</v>
      </c>
      <c r="J91" s="22">
        <v>1820</v>
      </c>
      <c r="K91" s="24">
        <v>164668</v>
      </c>
      <c r="L91" s="22">
        <v>27116</v>
      </c>
      <c r="M91" s="24">
        <v>31676125</v>
      </c>
      <c r="N91" s="22">
        <v>27039</v>
      </c>
      <c r="O91" s="59">
        <v>578</v>
      </c>
      <c r="P91" s="59">
        <v>60</v>
      </c>
      <c r="Q91" s="60">
        <v>27677</v>
      </c>
      <c r="R91" s="25" t="s">
        <v>135</v>
      </c>
    </row>
    <row r="92" spans="1:18" s="45" customFormat="1" ht="18.75" customHeight="1">
      <c r="A92" s="35"/>
      <c r="B92" s="36"/>
      <c r="C92" s="37"/>
      <c r="D92" s="36"/>
      <c r="E92" s="37"/>
      <c r="F92" s="38"/>
      <c r="G92" s="37"/>
      <c r="H92" s="38"/>
      <c r="I92" s="37"/>
      <c r="J92" s="38"/>
      <c r="K92" s="37"/>
      <c r="L92" s="38"/>
      <c r="M92" s="37"/>
      <c r="N92" s="51"/>
      <c r="O92" s="52"/>
      <c r="P92" s="52"/>
      <c r="Q92" s="53"/>
      <c r="R92" s="54" t="s">
        <v>130</v>
      </c>
    </row>
    <row r="93" spans="1:18" ht="18.75" customHeight="1">
      <c r="A93" s="11" t="s">
        <v>100</v>
      </c>
      <c r="B93" s="12">
        <f>_xlfn.COMPOUNDVALUE(959)</f>
        <v>5705</v>
      </c>
      <c r="C93" s="13">
        <v>17075542</v>
      </c>
      <c r="D93" s="12">
        <f>_xlfn.COMPOUNDVALUE(960)</f>
        <v>3320</v>
      </c>
      <c r="E93" s="13">
        <v>1025619</v>
      </c>
      <c r="F93" s="12">
        <f>_xlfn.COMPOUNDVALUE(961)</f>
        <v>9025</v>
      </c>
      <c r="G93" s="13">
        <v>18101161</v>
      </c>
      <c r="H93" s="12">
        <f>_xlfn.COMPOUNDVALUE(962)</f>
        <v>272</v>
      </c>
      <c r="I93" s="14">
        <v>1867279</v>
      </c>
      <c r="J93" s="12">
        <v>522</v>
      </c>
      <c r="K93" s="14">
        <v>88776</v>
      </c>
      <c r="L93" s="12">
        <v>9400</v>
      </c>
      <c r="M93" s="14">
        <v>16322657</v>
      </c>
      <c r="N93" s="65">
        <v>9143</v>
      </c>
      <c r="O93" s="66">
        <v>153</v>
      </c>
      <c r="P93" s="66">
        <v>16</v>
      </c>
      <c r="Q93" s="67">
        <v>9312</v>
      </c>
      <c r="R93" s="40" t="s">
        <v>100</v>
      </c>
    </row>
    <row r="94" spans="1:18" ht="18.75" customHeight="1">
      <c r="A94" s="16" t="s">
        <v>101</v>
      </c>
      <c r="B94" s="17">
        <f>_xlfn.COMPOUNDVALUE(963)</f>
        <v>1090</v>
      </c>
      <c r="C94" s="18">
        <v>2813148</v>
      </c>
      <c r="D94" s="17">
        <f>_xlfn.COMPOUNDVALUE(964)</f>
        <v>644</v>
      </c>
      <c r="E94" s="18">
        <v>169098</v>
      </c>
      <c r="F94" s="17">
        <f>_xlfn.COMPOUNDVALUE(965)</f>
        <v>1734</v>
      </c>
      <c r="G94" s="18">
        <v>2982246</v>
      </c>
      <c r="H94" s="17">
        <f>_xlfn.COMPOUNDVALUE(966)</f>
        <v>35</v>
      </c>
      <c r="I94" s="19">
        <v>58553</v>
      </c>
      <c r="J94" s="17">
        <v>111</v>
      </c>
      <c r="K94" s="19">
        <v>17101</v>
      </c>
      <c r="L94" s="17">
        <v>1805</v>
      </c>
      <c r="M94" s="19">
        <v>2940794</v>
      </c>
      <c r="N94" s="12">
        <v>1785</v>
      </c>
      <c r="O94" s="49">
        <v>19</v>
      </c>
      <c r="P94" s="49">
        <v>4</v>
      </c>
      <c r="Q94" s="50">
        <v>1808</v>
      </c>
      <c r="R94" s="15" t="s">
        <v>101</v>
      </c>
    </row>
    <row r="95" spans="1:18" ht="18.75" customHeight="1">
      <c r="A95" s="16" t="s">
        <v>102</v>
      </c>
      <c r="B95" s="17">
        <f>_xlfn.COMPOUNDVALUE(967)</f>
        <v>1281</v>
      </c>
      <c r="C95" s="18">
        <v>1940728</v>
      </c>
      <c r="D95" s="17">
        <f>_xlfn.COMPOUNDVALUE(968)</f>
        <v>1254</v>
      </c>
      <c r="E95" s="18">
        <v>316542</v>
      </c>
      <c r="F95" s="17">
        <f>_xlfn.COMPOUNDVALUE(969)</f>
        <v>2535</v>
      </c>
      <c r="G95" s="18">
        <v>2257270</v>
      </c>
      <c r="H95" s="17">
        <f>_xlfn.COMPOUNDVALUE(970)</f>
        <v>58</v>
      </c>
      <c r="I95" s="19">
        <v>53171</v>
      </c>
      <c r="J95" s="17">
        <v>136</v>
      </c>
      <c r="K95" s="19">
        <v>12333</v>
      </c>
      <c r="L95" s="17">
        <v>2607</v>
      </c>
      <c r="M95" s="19">
        <v>2216431</v>
      </c>
      <c r="N95" s="12">
        <v>2687</v>
      </c>
      <c r="O95" s="49">
        <v>44</v>
      </c>
      <c r="P95" s="49">
        <v>2</v>
      </c>
      <c r="Q95" s="50">
        <v>2733</v>
      </c>
      <c r="R95" s="15" t="s">
        <v>102</v>
      </c>
    </row>
    <row r="96" spans="1:18" ht="18.75" customHeight="1">
      <c r="A96" s="16" t="s">
        <v>103</v>
      </c>
      <c r="B96" s="17">
        <f>_xlfn.COMPOUNDVALUE(971)</f>
        <v>1873</v>
      </c>
      <c r="C96" s="18">
        <v>3248416</v>
      </c>
      <c r="D96" s="17">
        <f>_xlfn.COMPOUNDVALUE(972)</f>
        <v>1540</v>
      </c>
      <c r="E96" s="18">
        <v>450950</v>
      </c>
      <c r="F96" s="17">
        <f>_xlfn.COMPOUNDVALUE(973)</f>
        <v>3413</v>
      </c>
      <c r="G96" s="18">
        <v>3699366</v>
      </c>
      <c r="H96" s="17">
        <f>_xlfn.COMPOUNDVALUE(974)</f>
        <v>67</v>
      </c>
      <c r="I96" s="19">
        <v>44786</v>
      </c>
      <c r="J96" s="17">
        <v>174</v>
      </c>
      <c r="K96" s="19">
        <v>20182</v>
      </c>
      <c r="L96" s="17">
        <v>3521</v>
      </c>
      <c r="M96" s="19">
        <v>3674761</v>
      </c>
      <c r="N96" s="12">
        <v>3836</v>
      </c>
      <c r="O96" s="49">
        <v>56</v>
      </c>
      <c r="P96" s="49">
        <v>4</v>
      </c>
      <c r="Q96" s="50">
        <v>3896</v>
      </c>
      <c r="R96" s="15" t="s">
        <v>103</v>
      </c>
    </row>
    <row r="97" spans="1:18" ht="18.75" customHeight="1">
      <c r="A97" s="16" t="s">
        <v>104</v>
      </c>
      <c r="B97" s="17">
        <f>_xlfn.COMPOUNDVALUE(975)</f>
        <v>1167</v>
      </c>
      <c r="C97" s="18">
        <v>1529469</v>
      </c>
      <c r="D97" s="17">
        <f>_xlfn.COMPOUNDVALUE(976)</f>
        <v>808</v>
      </c>
      <c r="E97" s="18">
        <v>210669</v>
      </c>
      <c r="F97" s="17">
        <f>_xlfn.COMPOUNDVALUE(977)</f>
        <v>1975</v>
      </c>
      <c r="G97" s="18">
        <v>1740138</v>
      </c>
      <c r="H97" s="17">
        <f>_xlfn.COMPOUNDVALUE(978)</f>
        <v>41</v>
      </c>
      <c r="I97" s="19">
        <v>72947</v>
      </c>
      <c r="J97" s="17">
        <v>185</v>
      </c>
      <c r="K97" s="19">
        <v>39306</v>
      </c>
      <c r="L97" s="17">
        <v>2048</v>
      </c>
      <c r="M97" s="19">
        <v>1706498</v>
      </c>
      <c r="N97" s="12">
        <v>2014</v>
      </c>
      <c r="O97" s="49">
        <v>29</v>
      </c>
      <c r="P97" s="49">
        <v>4</v>
      </c>
      <c r="Q97" s="50">
        <v>2047</v>
      </c>
      <c r="R97" s="15" t="s">
        <v>104</v>
      </c>
    </row>
    <row r="98" spans="1:18" ht="18.75" customHeight="1">
      <c r="A98" s="16" t="s">
        <v>105</v>
      </c>
      <c r="B98" s="17">
        <f>_xlfn.COMPOUNDVALUE(979)</f>
        <v>2254</v>
      </c>
      <c r="C98" s="18">
        <v>3670101</v>
      </c>
      <c r="D98" s="17">
        <f>_xlfn.COMPOUNDVALUE(980)</f>
        <v>1481</v>
      </c>
      <c r="E98" s="18">
        <v>377001</v>
      </c>
      <c r="F98" s="17">
        <f>_xlfn.COMPOUNDVALUE(981)</f>
        <v>3735</v>
      </c>
      <c r="G98" s="18">
        <v>4047102</v>
      </c>
      <c r="H98" s="17">
        <f>_xlfn.COMPOUNDVALUE(982)</f>
        <v>104</v>
      </c>
      <c r="I98" s="19">
        <v>134549</v>
      </c>
      <c r="J98" s="17">
        <v>185</v>
      </c>
      <c r="K98" s="19">
        <v>6722</v>
      </c>
      <c r="L98" s="17">
        <v>3867</v>
      </c>
      <c r="M98" s="19">
        <v>3919276</v>
      </c>
      <c r="N98" s="12">
        <v>3820</v>
      </c>
      <c r="O98" s="49">
        <v>59</v>
      </c>
      <c r="P98" s="49">
        <v>14</v>
      </c>
      <c r="Q98" s="50">
        <v>3893</v>
      </c>
      <c r="R98" s="15" t="s">
        <v>105</v>
      </c>
    </row>
    <row r="99" spans="1:18" ht="18.75" customHeight="1">
      <c r="A99" s="16" t="s">
        <v>106</v>
      </c>
      <c r="B99" s="17">
        <f>_xlfn.COMPOUNDVALUE(983)</f>
        <v>1176</v>
      </c>
      <c r="C99" s="18">
        <v>2378134</v>
      </c>
      <c r="D99" s="17">
        <f>_xlfn.COMPOUNDVALUE(984)</f>
        <v>1407</v>
      </c>
      <c r="E99" s="18">
        <v>325705</v>
      </c>
      <c r="F99" s="17">
        <f>_xlfn.COMPOUNDVALUE(985)</f>
        <v>2583</v>
      </c>
      <c r="G99" s="18">
        <v>2703839</v>
      </c>
      <c r="H99" s="17">
        <f>_xlfn.COMPOUNDVALUE(986)</f>
        <v>42</v>
      </c>
      <c r="I99" s="19">
        <v>57823</v>
      </c>
      <c r="J99" s="17">
        <v>214</v>
      </c>
      <c r="K99" s="19">
        <v>48646</v>
      </c>
      <c r="L99" s="17">
        <v>2669</v>
      </c>
      <c r="M99" s="19">
        <v>2694661</v>
      </c>
      <c r="N99" s="12">
        <v>2727</v>
      </c>
      <c r="O99" s="49">
        <v>31</v>
      </c>
      <c r="P99" s="49">
        <v>2</v>
      </c>
      <c r="Q99" s="50">
        <v>2760</v>
      </c>
      <c r="R99" s="15" t="s">
        <v>106</v>
      </c>
    </row>
    <row r="100" spans="1:18" ht="18.75" customHeight="1">
      <c r="A100" s="21" t="s">
        <v>107</v>
      </c>
      <c r="B100" s="22">
        <v>14546</v>
      </c>
      <c r="C100" s="23">
        <v>32655537</v>
      </c>
      <c r="D100" s="22">
        <v>10454</v>
      </c>
      <c r="E100" s="23">
        <v>2875584</v>
      </c>
      <c r="F100" s="22">
        <v>25000</v>
      </c>
      <c r="G100" s="23">
        <v>35531121</v>
      </c>
      <c r="H100" s="22">
        <v>619</v>
      </c>
      <c r="I100" s="24">
        <v>2289108</v>
      </c>
      <c r="J100" s="22">
        <v>1527</v>
      </c>
      <c r="K100" s="24">
        <v>233066</v>
      </c>
      <c r="L100" s="22">
        <v>25917</v>
      </c>
      <c r="M100" s="24">
        <v>33475079</v>
      </c>
      <c r="N100" s="22">
        <v>26012</v>
      </c>
      <c r="O100" s="59">
        <v>391</v>
      </c>
      <c r="P100" s="59">
        <v>46</v>
      </c>
      <c r="Q100" s="60">
        <v>26449</v>
      </c>
      <c r="R100" s="25" t="s">
        <v>136</v>
      </c>
    </row>
    <row r="101" spans="1:18" ht="18.75" customHeight="1" thickBot="1">
      <c r="A101" s="27"/>
      <c r="B101" s="75"/>
      <c r="C101" s="74"/>
      <c r="D101" s="75"/>
      <c r="E101" s="74"/>
      <c r="F101" s="73"/>
      <c r="G101" s="74"/>
      <c r="H101" s="73"/>
      <c r="I101" s="74"/>
      <c r="J101" s="73"/>
      <c r="K101" s="74"/>
      <c r="L101" s="73"/>
      <c r="M101" s="74"/>
      <c r="N101" s="51"/>
      <c r="O101" s="52"/>
      <c r="P101" s="52"/>
      <c r="Q101" s="53"/>
      <c r="R101" s="54" t="s">
        <v>130</v>
      </c>
    </row>
    <row r="102" spans="1:18" ht="18.75" customHeight="1" thickBot="1" thickTop="1">
      <c r="A102" s="30" t="s">
        <v>129</v>
      </c>
      <c r="B102" s="31">
        <v>312397</v>
      </c>
      <c r="C102" s="32">
        <v>1336967774</v>
      </c>
      <c r="D102" s="31">
        <v>175055</v>
      </c>
      <c r="E102" s="32">
        <v>54625680</v>
      </c>
      <c r="F102" s="31">
        <v>487452</v>
      </c>
      <c r="G102" s="32">
        <v>1391593453</v>
      </c>
      <c r="H102" s="31">
        <v>28804</v>
      </c>
      <c r="I102" s="33">
        <v>293625071</v>
      </c>
      <c r="J102" s="31">
        <v>32294</v>
      </c>
      <c r="K102" s="33">
        <v>4386108</v>
      </c>
      <c r="L102" s="31">
        <v>524345</v>
      </c>
      <c r="M102" s="33">
        <v>1102354490</v>
      </c>
      <c r="N102" s="55">
        <v>527176</v>
      </c>
      <c r="O102" s="56">
        <v>13525</v>
      </c>
      <c r="P102" s="56">
        <v>1844</v>
      </c>
      <c r="Q102" s="57">
        <v>542545</v>
      </c>
      <c r="R102" s="58" t="s">
        <v>129</v>
      </c>
    </row>
    <row r="103" spans="1:9" ht="13.5">
      <c r="A103" s="195" t="s">
        <v>138</v>
      </c>
      <c r="B103" s="195"/>
      <c r="C103" s="195"/>
      <c r="D103" s="195"/>
      <c r="E103" s="195"/>
      <c r="F103" s="195"/>
      <c r="G103" s="195"/>
      <c r="H103" s="195"/>
      <c r="I103" s="195"/>
    </row>
  </sheetData>
  <sheetProtection/>
  <mergeCells count="16">
    <mergeCell ref="A103:I103"/>
    <mergeCell ref="A2:I2"/>
    <mergeCell ref="A3:A5"/>
    <mergeCell ref="B3:G3"/>
    <mergeCell ref="H3:I4"/>
    <mergeCell ref="R3:R5"/>
    <mergeCell ref="B4:C4"/>
    <mergeCell ref="D4:E4"/>
    <mergeCell ref="F4:G4"/>
    <mergeCell ref="N4:N5"/>
    <mergeCell ref="O4:O5"/>
    <mergeCell ref="P4:P5"/>
    <mergeCell ref="Q4:Q5"/>
    <mergeCell ref="J3:K4"/>
    <mergeCell ref="L3:M4"/>
    <mergeCell ref="N3:Q3"/>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8" r:id="rId1"/>
  <headerFooter alignWithMargins="0">
    <oddFooter>&amp;R&amp;12大阪国税局
消費税
(H24)</oddFooter>
  </headerFooter>
  <rowBreaks count="2" manualBreakCount="2">
    <brk id="38"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2014-06-11T02:00:12Z</cp:lastPrinted>
  <dcterms:created xsi:type="dcterms:W3CDTF">2011-12-09T10:59:54Z</dcterms:created>
  <dcterms:modified xsi:type="dcterms:W3CDTF">2014-06-16T05:50:25Z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