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18CAA09D-16BE-4E9E-AC92-8A0559332B42}" xr6:coauthVersionLast="36" xr6:coauthVersionMax="36" xr10:uidLastSave="{00000000-0000-0000-0000-000000000000}"/>
  <bookViews>
    <workbookView xWindow="-105" yWindow="-105" windowWidth="19425" windowHeight="10425" firstSheet="1" activeTab="1" xr2:uid="{00000000-000D-0000-FFFF-FFFF00000000}"/>
  </bookViews>
  <sheets>
    <sheet name="令和4年度契約状況調査票" sheetId="1" state="hidden" r:id="rId1"/>
    <sheet name="別紙様式１" sheetId="3" r:id="rId2"/>
    <sheet name="契約状況コード表"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2" hidden="1">契約状況コード表!#REF!</definedName>
    <definedName name="_xlnm._FilterDatabase" localSheetId="1" hidden="1">別紙様式１!$A$5:$N$9</definedName>
    <definedName name="_xlnm._FilterDatabase" localSheetId="0" hidden="1">令和4年度契約状況調査票!$A$5:$BP$16</definedName>
    <definedName name="aaa">[1]契約状況コード表!$F$5:$F$9</definedName>
    <definedName name="aaaa">[1]契約状況コード表!$G$5:$G$6</definedName>
    <definedName name="_xlnm.Print_Area" localSheetId="2">契約状況コード表!$A$1:$P$20</definedName>
    <definedName name="_xlnm.Print_Area" localSheetId="1">別紙様式１!$B$1:$N$9</definedName>
    <definedName name="_xlnm.Print_Area" localSheetId="0">令和4年度契約状況調査票!$G$1:$AZ$16</definedName>
    <definedName name="_xlnm.Print_Titles" localSheetId="0">令和4年度契約状況調査票!$5:$5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W11" i="1" l="1"/>
  <c r="W15" i="1"/>
  <c r="W16" i="1"/>
  <c r="W8" i="1" l="1"/>
  <c r="BO8" i="1"/>
  <c r="BN8" i="1"/>
  <c r="BM8" i="1"/>
  <c r="BL8" i="1"/>
  <c r="BJ8" i="1"/>
  <c r="BI8" i="1"/>
  <c r="BE8" i="1" s="1"/>
  <c r="BC8" i="1"/>
  <c r="BM14" i="1"/>
  <c r="B14" i="1"/>
  <c r="F14" i="1" s="1"/>
  <c r="BM13" i="1"/>
  <c r="B13" i="1"/>
  <c r="F13" i="1" s="1"/>
  <c r="BO12" i="1"/>
  <c r="BN12" i="1"/>
  <c r="BM12" i="1"/>
  <c r="BL12" i="1"/>
  <c r="BJ12" i="1"/>
  <c r="BC12" i="1" s="1"/>
  <c r="BI12" i="1"/>
  <c r="BE12" i="1" s="1"/>
  <c r="W12" i="1"/>
  <c r="B12" i="1"/>
  <c r="F12" i="1" s="1"/>
  <c r="BM16" i="1"/>
  <c r="B16" i="1"/>
  <c r="F16" i="1" s="1"/>
  <c r="BM15" i="1"/>
  <c r="B15" i="1"/>
  <c r="F15" i="1" s="1"/>
  <c r="BM11" i="1"/>
  <c r="B11" i="1"/>
  <c r="F11" i="1" s="1"/>
  <c r="BM10" i="1"/>
  <c r="B10" i="1"/>
  <c r="BM9" i="1"/>
  <c r="B9" i="1"/>
  <c r="F9" i="1" s="1"/>
  <c r="BM7" i="1"/>
  <c r="B7" i="1"/>
  <c r="BM6" i="1"/>
  <c r="B6" i="1"/>
  <c r="F6" i="1" s="1"/>
  <c r="F7" i="1" l="1"/>
  <c r="C12" i="1"/>
  <c r="D12" i="1"/>
  <c r="BD12" i="1"/>
  <c r="BG12" i="1" s="1"/>
  <c r="BH12" i="1" s="1"/>
  <c r="BD8" i="1"/>
  <c r="BG8" i="1" s="1"/>
  <c r="BF8" i="1" s="1"/>
  <c r="BF12" i="1" l="1"/>
  <c r="BH8" i="1"/>
  <c r="W14" i="1" l="1"/>
  <c r="W13" i="1"/>
  <c r="W10" i="1"/>
  <c r="W9" i="1"/>
  <c r="W7" i="1"/>
  <c r="W6" i="1"/>
  <c r="A6" i="1" l="1"/>
  <c r="A9" i="1"/>
  <c r="A10" i="1"/>
  <c r="A11" i="1"/>
  <c r="A15" i="1"/>
  <c r="A16" i="1"/>
  <c r="A12" i="1"/>
  <c r="A7" i="1"/>
  <c r="A13" i="1"/>
  <c r="A14" i="1"/>
  <c r="F10" i="1" l="1"/>
  <c r="E12" i="1"/>
  <c r="C11" i="1"/>
  <c r="E11" i="1"/>
  <c r="D11" i="1"/>
  <c r="C9" i="1"/>
  <c r="E9" i="1"/>
  <c r="D9" i="1"/>
  <c r="C6" i="1"/>
  <c r="E6" i="1"/>
  <c r="D6" i="1"/>
  <c r="C7" i="1"/>
  <c r="E7" i="1"/>
  <c r="D7" i="1"/>
  <c r="E13" i="1"/>
  <c r="C13" i="1"/>
  <c r="D13" i="1"/>
  <c r="E15" i="1"/>
  <c r="C15" i="1"/>
  <c r="D15" i="1"/>
  <c r="E10" i="1"/>
  <c r="C10" i="1"/>
  <c r="D10" i="1"/>
  <c r="C14" i="1"/>
  <c r="E14" i="1"/>
  <c r="D14" i="1"/>
  <c r="C16" i="1"/>
  <c r="E16" i="1"/>
  <c r="D16" i="1"/>
  <c r="BI6" i="1" l="1"/>
  <c r="BJ6" i="1"/>
  <c r="BC6" i="1" s="1"/>
  <c r="BL6" i="1"/>
  <c r="BN6" i="1"/>
  <c r="BO6" i="1"/>
  <c r="BI9" i="1"/>
  <c r="BJ9" i="1"/>
  <c r="BC9" i="1" s="1"/>
  <c r="BL9" i="1"/>
  <c r="BN9" i="1"/>
  <c r="BO9" i="1"/>
  <c r="BI10" i="1"/>
  <c r="BD10" i="1" s="1"/>
  <c r="BJ10" i="1"/>
  <c r="BC10" i="1" s="1"/>
  <c r="BL10" i="1"/>
  <c r="BN10" i="1"/>
  <c r="BO10" i="1"/>
  <c r="BI11" i="1"/>
  <c r="BJ11" i="1"/>
  <c r="BC11" i="1" s="1"/>
  <c r="BL11" i="1"/>
  <c r="BN11" i="1"/>
  <c r="BO11" i="1"/>
  <c r="BI15" i="1"/>
  <c r="BD15" i="1" s="1"/>
  <c r="BJ15" i="1"/>
  <c r="BC15" i="1" s="1"/>
  <c r="BL15" i="1"/>
  <c r="BN15" i="1"/>
  <c r="BO15" i="1"/>
  <c r="BI16" i="1"/>
  <c r="BJ16" i="1"/>
  <c r="BC16" i="1" s="1"/>
  <c r="BL16" i="1"/>
  <c r="BN16" i="1"/>
  <c r="BO16" i="1"/>
  <c r="BI7" i="1"/>
  <c r="BJ7" i="1"/>
  <c r="BC7" i="1" s="1"/>
  <c r="BL7" i="1"/>
  <c r="BN7" i="1"/>
  <c r="BO7" i="1"/>
  <c r="BI13" i="1"/>
  <c r="BD13" i="1" s="1"/>
  <c r="BJ13" i="1"/>
  <c r="BC13" i="1" s="1"/>
  <c r="BL13" i="1"/>
  <c r="BN13" i="1"/>
  <c r="BO13" i="1"/>
  <c r="BI14" i="1"/>
  <c r="BD14" i="1" s="1"/>
  <c r="BJ14" i="1"/>
  <c r="BC14" i="1" s="1"/>
  <c r="BL14" i="1"/>
  <c r="BN14" i="1"/>
  <c r="BO14" i="1"/>
  <c r="BE10" i="1" l="1"/>
  <c r="BG10" i="1" s="1"/>
  <c r="BH10" i="1" s="1"/>
  <c r="BE13" i="1"/>
  <c r="BG13" i="1" s="1"/>
  <c r="BH13" i="1" s="1"/>
  <c r="BE15" i="1"/>
  <c r="BE14" i="1"/>
  <c r="BG14" i="1" s="1"/>
  <c r="BG15" i="1"/>
  <c r="BH15" i="1" s="1"/>
  <c r="BD7" i="1"/>
  <c r="BE7" i="1"/>
  <c r="BD16" i="1"/>
  <c r="BE16" i="1"/>
  <c r="BD11" i="1"/>
  <c r="BE11" i="1"/>
  <c r="BD9" i="1"/>
  <c r="BE9" i="1"/>
  <c r="BD6" i="1"/>
  <c r="BE6" i="1"/>
  <c r="BG16" i="1" l="1"/>
  <c r="BH16" i="1" s="1"/>
  <c r="BG11" i="1"/>
  <c r="BH11" i="1" s="1"/>
  <c r="BG7" i="1"/>
  <c r="BH7" i="1" s="1"/>
  <c r="BG6" i="1"/>
  <c r="BH6" i="1" s="1"/>
  <c r="BF14" i="1"/>
  <c r="BH14" i="1"/>
  <c r="BF10" i="1"/>
  <c r="BF13" i="1"/>
  <c r="BG9" i="1"/>
  <c r="BH9" i="1" s="1"/>
  <c r="BF15" i="1"/>
  <c r="BF16" i="1" l="1"/>
  <c r="BF11" i="1"/>
  <c r="BF7" i="1"/>
  <c r="BF6" i="1"/>
  <c r="BF9" i="1"/>
  <c r="BE4" i="1" l="1"/>
  <c r="BG4" i="1"/>
  <c r="BD4" i="1"/>
  <c r="BF4" i="1" l="1"/>
  <c r="I2" i="1" l="1"/>
  <c r="I3" i="1" l="1"/>
  <c r="BG3" i="1"/>
</calcChain>
</file>

<file path=xl/sharedStrings.xml><?xml version="1.0" encoding="utf-8"?>
<sst xmlns="http://schemas.openxmlformats.org/spreadsheetml/2006/main" count="367" uniqueCount="247">
  <si>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</si>
  <si>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</si>
  <si>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</si>
  <si>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</si>
  <si>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</si>
  <si>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</si>
  <si>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</si>
  <si>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</si>
  <si>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</si>
  <si>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</si>
  <si>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</si>
  <si>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</si>
  <si>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</si>
  <si>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</si>
  <si>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</si>
  <si>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</si>
  <si>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</si>
  <si>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</si>
  <si>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</si>
  <si>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</si>
  <si>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</si>
  <si>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</si>
  <si>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</si>
  <si>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</si>
  <si>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</si>
  <si>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</si>
  <si>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</si>
  <si>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</si>
  <si>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</si>
  <si>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</si>
  <si>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</si>
  <si>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</si>
  <si>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</si>
  <si>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</si>
  <si>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</si>
  <si>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</si>
  <si>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</si>
  <si>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</si>
  <si>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</si>
  <si>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</si>
  <si>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</si>
  <si>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</si>
  <si>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</si>
  <si>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</si>
  <si>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</si>
  <si>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</si>
  <si>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</si>
  <si>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</si>
  <si>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</si>
  <si>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</si>
  <si>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</si>
  <si>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</si>
  <si>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</si>
  <si>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</si>
  <si>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</si>
  <si>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</si>
  <si>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</si>
  <si>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</si>
  <si>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</si>
  <si>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</si>
  <si>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</si>
  <si>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</si>
  <si>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</si>
  <si>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</si>
  <si>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</si>
  <si>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</si>
  <si>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</si>
  <si>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</si>
  <si>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</si>
  <si>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</si>
  <si>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</si>
  <si>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</si>
  <si>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</si>
  <si>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</si>
  <si>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</si>
  <si>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</si>
  <si>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</si>
  <si>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</si>
  <si>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</si>
  <si>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</si>
  <si>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</si>
  <si>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</si>
  <si>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</si>
  <si>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</si>
  <si>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</si>
  <si>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</si>
  <si>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</si>
  <si>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</si>
  <si>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</si>
  <si>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</si>
  <si>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</si>
  <si>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</si>
  <si>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</si>
  <si>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</si>
  <si>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</si>
  <si>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</si>
  <si>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</si>
  <si>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</si>
  <si>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</si>
  <si>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</si>
  <si>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</si>
  <si>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</si>
  <si>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</si>
  <si>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</si>
  <si>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</si>
  <si>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</si>
  <si>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</si>
  <si>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</si>
  <si>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</si>
  <si>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</si>
  <si>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</si>
  <si>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</si>
  <si>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</si>
  <si>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</si>
  <si>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</si>
  <si>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</si>
  <si>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２９－２
２９に「×」を付したものについて、その理由を記載する</t>
    <rPh sb="12" eb="13">
      <t>フ</t>
    </rPh>
    <rPh sb="24" eb="26">
      <t>リユウ</t>
    </rPh>
    <rPh sb="27" eb="29">
      <t>キサイ</t>
    </rPh>
    <phoneticPr fontId="4"/>
  </si>
  <si>
    <t>３０
契約の統計
判定修正</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</si>
  <si>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</si>
  <si>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</si>
  <si>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</si>
  <si>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</si>
  <si>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</si>
  <si>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</si>
  <si>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</si>
  <si>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</si>
  <si>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</si>
  <si>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</si>
  <si>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</si>
  <si>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</si>
  <si>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</si>
  <si>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</si>
  <si>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</si>
  <si>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</si>
  <si>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２５－２
２５で「c」を選択した場合に評価項目を設定しなかった理由を具体的に記載する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</si>
  <si>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</si>
  <si>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</si>
  <si>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</si>
  <si>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</si>
  <si>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</si>
  <si>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</si>
  <si>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</si>
  <si>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</si>
  <si>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</si>
  <si>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</si>
  <si>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</si>
  <si>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</si>
  <si>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</si>
  <si>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</si>
  <si>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</si>
  <si>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</si>
  <si>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１２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</si>
  <si>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</si>
  <si>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</si>
  <si>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</si>
  <si>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</si>
  <si>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</si>
  <si>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</si>
  <si>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１７
特例政令該当の場合「○」、非該当の場合「×」を付す</t>
    <rPh sb="3" eb="5">
      <t>トクレイ</t>
    </rPh>
    <rPh sb="5" eb="7">
      <t>セイレイ</t>
    </rPh>
    <rPh sb="7" eb="9">
      <t>ガイトウ</t>
    </rPh>
    <rPh sb="10" eb="12">
      <t>バアイ</t>
    </rPh>
    <rPh sb="16" eb="19">
      <t>ヒガイトウ</t>
    </rPh>
    <rPh sb="20" eb="22">
      <t>バアイ</t>
    </rPh>
    <rPh sb="26" eb="27">
      <t>フ</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</si>
  <si>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</si>
  <si>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前年度又は前回に一者応札であった案件について、改善の有無にかかわらず記載する。
※26欄に「○」又は「×」が付されたものについて記載する。</t>
    <rPh sb="34" eb="36">
      <t>キサイ</t>
    </rPh>
    <rPh sb="43" eb="44">
      <t>ラン</t>
    </rPh>
    <rPh sb="48" eb="49">
      <t>マタ</t>
    </rPh>
    <rPh sb="54" eb="55">
      <t>フ</t>
    </rPh>
    <rPh sb="64" eb="66">
      <t>キサイ</t>
    </rPh>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</si>
  <si>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</si>
  <si>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</si>
  <si>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２５－１
評価項目が未設定の理由。
※10欄に「②総合評価」・「③随意契約(企画競争あり)」としたものについて記載</t>
    <rPh sb="14" eb="16">
      <t>リユウ</t>
    </rPh>
    <phoneticPr fontId="4"/>
  </si>
  <si>
    <t>２０－３
２０－２に「×」が付された場合に電子応札を認めていない理由を記載する</t>
    <rPh sb="14" eb="15">
      <t>フ</t>
    </rPh>
    <rPh sb="18" eb="20">
      <t>バアイ</t>
    </rPh>
    <rPh sb="30" eb="32">
      <t>リユウ</t>
    </rPh>
    <rPh sb="33" eb="35">
      <t>キサイ</t>
    </rPh>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</si>
  <si>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</si>
  <si>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</si>
  <si>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</si>
  <si>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</si>
  <si>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</si>
  <si>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</si>
  <si>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</si>
  <si>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</si>
  <si>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２7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</si>
  <si>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２７－２
一者応札が改善できた理由を選択（１）
※27欄に「○」が付されたものについて必ず選択</t>
    <rPh sb="5" eb="7">
      <t>イチシャ</t>
    </rPh>
    <rPh sb="7" eb="9">
      <t>オウサツ</t>
    </rPh>
    <rPh sb="10" eb="12">
      <t>カイゼン</t>
    </rPh>
    <rPh sb="15" eb="17">
      <t>リユウ</t>
    </rPh>
    <rPh sb="18" eb="20">
      <t>センタク</t>
    </rPh>
    <rPh sb="27" eb="28">
      <t>ラン</t>
    </rPh>
    <rPh sb="33" eb="34">
      <t>フ</t>
    </rPh>
    <rPh sb="43" eb="44">
      <t>カナラ</t>
    </rPh>
    <rPh sb="45" eb="47">
      <t>センタク</t>
    </rPh>
    <phoneticPr fontId="4"/>
  </si>
  <si>
    <t>２７－３
一者応札が改善できた理由を選択（2）
※27欄に「○」が付されたものについて任意で選択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</si>
  <si>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２８－１
一者応札となった理由を選択（１）
※27欄に「△」又は「×」が付されたものについて必ず選択</t>
    <rPh sb="5" eb="7">
      <t>イチシャ</t>
    </rPh>
    <rPh sb="7" eb="9">
      <t>オウサツ</t>
    </rPh>
    <rPh sb="13" eb="15">
      <t>リユウ</t>
    </rPh>
    <rPh sb="16" eb="18">
      <t>センタク</t>
    </rPh>
    <rPh sb="25" eb="26">
      <t>ラン</t>
    </rPh>
    <rPh sb="30" eb="31">
      <t>マタ</t>
    </rPh>
    <rPh sb="36" eb="37">
      <t>フ</t>
    </rPh>
    <rPh sb="46" eb="47">
      <t>カナラ</t>
    </rPh>
    <rPh sb="48" eb="50">
      <t>センタク</t>
    </rPh>
    <phoneticPr fontId="4"/>
  </si>
  <si>
    <t>２８－２
一者応札となった理由を選択（2）
※27欄に「△」又は「×」が付されたものについて任意で選択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</si>
  <si>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２８－３
28-1欄又は28－2欄で「⑨その他」を選択したものについて個別に記載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</si>
  <si>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２５－３
２５-1で「a」を選択した場合に、技術点の合計点</t>
    <rPh sb="14" eb="16">
      <t>センタク</t>
    </rPh>
    <rPh sb="18" eb="20">
      <t>バアイ</t>
    </rPh>
    <rPh sb="22" eb="24">
      <t>ギジュツ</t>
    </rPh>
    <rPh sb="24" eb="25">
      <t>テン</t>
    </rPh>
    <rPh sb="26" eb="28">
      <t>ゴウケイ</t>
    </rPh>
    <rPh sb="28" eb="29">
      <t>テン</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</si>
  <si>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</si>
  <si>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</si>
  <si>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</si>
  <si>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t>
  </si>
  <si>
    <t>×</t>
  </si>
  <si>
    <t>①一般競争入札</t>
  </si>
  <si>
    <t>②同種の他の契約の予定価格を類推されるおそれがあるため公表しない</t>
  </si>
  <si>
    <t>支出負担行為担当官
大阪国税局総務部次長
浜野　靖史
大阪府大阪市中央区大手前１－５－６３</t>
  </si>
  <si>
    <t>④随意契約（企画競争無し）</t>
  </si>
  <si>
    <t>支出負担行為担当官
大阪国税局総務部次長
浜野　靖史
大阪府大阪市中央区大手前１－５－６３</t>
    <rPh sb="21" eb="23">
      <t>ハマノ</t>
    </rPh>
    <rPh sb="24" eb="25">
      <t>ヤスシ</t>
    </rPh>
    <rPh sb="25" eb="26">
      <t>シ</t>
    </rPh>
    <phoneticPr fontId="3"/>
  </si>
  <si>
    <t>支出負担行為担当官
大阪国税局総務部次長
浜野　靖史
大阪府大阪市中央区大手前１－５－６３</t>
    <rPh sb="21" eb="23">
      <t>ハマノ</t>
    </rPh>
    <rPh sb="24" eb="26">
      <t>ヤスフミ</t>
    </rPh>
    <phoneticPr fontId="3"/>
  </si>
  <si>
    <t>⑭予決令第99条の2（競争に付しても入札者がないとき、又は再度の入札をしても落札者がないとき）</t>
  </si>
  <si>
    <t>令和4年度契約状況調査票</t>
  </si>
  <si>
    <t>様式4</t>
    <rPh sb="0" eb="2">
      <t>ヨウシキ</t>
    </rPh>
    <phoneticPr fontId="2"/>
  </si>
  <si>
    <t>4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</si>
  <si>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１4－１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</si>
  <si>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１4－２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</si>
  <si>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１６－１
１4－１の年間支払金額（円）（年度確定額）
(年度末のみ使用)
自官署の負担分を記載</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</si>
  <si>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２０－4
システム上で電磁的契約書により契約締結をした場合「○」、契約締結しなかった場合「×」を付す</t>
  </si>
  <si>
    <t>２4
備考</t>
    <rPh sb="3" eb="5">
      <t>ビコウ</t>
    </rPh>
    <phoneticPr fontId="4"/>
  </si>
  <si>
    <t>２５－4
２５-1で「a」を選択した場合に、WLB等推進企業に対する加点（最大値）</t>
  </si>
  <si>
    <t>２７－4
27-2欄又は27－3欄で「⑧その他」を選択したものについて個別に記載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</si>
  <si>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３4
契約の統計判定(金額)</t>
  </si>
  <si>
    <t>一般競争入札において入札者がいない又は再度の入札を実施しても、落札者となるべき者がいないことから、会計法第29条の３第５項及び予決令第99の２に該当するため。</t>
  </si>
  <si>
    <t>石元商事株式会社
大阪府大阪市都島区中野町１－７－２０</t>
    <rPh sb="0" eb="4">
      <t>イシモトショウジ</t>
    </rPh>
    <rPh sb="4" eb="8">
      <t>カブシキガイシャ</t>
    </rPh>
    <rPh sb="9" eb="11">
      <t>オオサカ</t>
    </rPh>
    <rPh sb="11" eb="12">
      <t>フ</t>
    </rPh>
    <rPh sb="12" eb="15">
      <t>オオサカシ</t>
    </rPh>
    <rPh sb="15" eb="17">
      <t>ミヤコジマ</t>
    </rPh>
    <rPh sb="17" eb="18">
      <t>ク</t>
    </rPh>
    <rPh sb="18" eb="20">
      <t>ナカノ</t>
    </rPh>
    <rPh sb="20" eb="21">
      <t>マチ</t>
    </rPh>
    <phoneticPr fontId="3"/>
  </si>
  <si>
    <t>契約区分数が多数に及ぶため。</t>
    <rPh sb="0" eb="2">
      <t>ケイヤク</t>
    </rPh>
    <rPh sb="2" eb="4">
      <t>クブン</t>
    </rPh>
    <rPh sb="4" eb="5">
      <t>スウ</t>
    </rPh>
    <rPh sb="6" eb="8">
      <t>タスウ</t>
    </rPh>
    <rPh sb="9" eb="10">
      <t>オヨ</t>
    </rPh>
    <phoneticPr fontId="3"/>
  </si>
  <si>
    <t>（1月分）</t>
  </si>
  <si>
    <t>@3,190円ほか</t>
    <rPh sb="6" eb="7">
      <t>エン</t>
    </rPh>
    <phoneticPr fontId="3"/>
  </si>
  <si>
    <t>@3,080円</t>
    <rPh sb="6" eb="7">
      <t>エン</t>
    </rPh>
    <phoneticPr fontId="3"/>
  </si>
  <si>
    <t>令和４年分　不動産鑑定評価業務（区分１）</t>
    <rPh sb="0" eb="2">
      <t>レイワ</t>
    </rPh>
    <rPh sb="3" eb="4">
      <t>ネン</t>
    </rPh>
    <rPh sb="4" eb="5">
      <t>ブン</t>
    </rPh>
    <rPh sb="16" eb="18">
      <t>クブン</t>
    </rPh>
    <phoneticPr fontId="4"/>
  </si>
  <si>
    <t>令和４年分　不動産鑑定評価業務（区分２）</t>
    <rPh sb="0" eb="2">
      <t>レイワ</t>
    </rPh>
    <rPh sb="3" eb="4">
      <t>ネン</t>
    </rPh>
    <rPh sb="4" eb="5">
      <t>ブン</t>
    </rPh>
    <rPh sb="16" eb="18">
      <t>クブン</t>
    </rPh>
    <phoneticPr fontId="4"/>
  </si>
  <si>
    <t>株式会社メーベル
大阪府大阪市旭区中宮１－１－２５</t>
    <rPh sb="0" eb="2">
      <t>カブシキ</t>
    </rPh>
    <rPh sb="2" eb="4">
      <t>カイシャ</t>
    </rPh>
    <rPh sb="9" eb="12">
      <t>オオサカフ</t>
    </rPh>
    <rPh sb="12" eb="14">
      <t>オオサカ</t>
    </rPh>
    <rPh sb="14" eb="15">
      <t>シ</t>
    </rPh>
    <rPh sb="15" eb="17">
      <t>アサヒク</t>
    </rPh>
    <rPh sb="17" eb="19">
      <t>ナカミヤ</t>
    </rPh>
    <phoneticPr fontId="3"/>
  </si>
  <si>
    <t>ジャトー株式会社
大阪府大阪市北区末広町１－２２</t>
    <rPh sb="4" eb="8">
      <t>カブシキガイシャ</t>
    </rPh>
    <rPh sb="9" eb="11">
      <t>オオサカ</t>
    </rPh>
    <rPh sb="11" eb="12">
      <t>フ</t>
    </rPh>
    <rPh sb="12" eb="15">
      <t>オオサカシ</t>
    </rPh>
    <rPh sb="15" eb="17">
      <t>キタク</t>
    </rPh>
    <rPh sb="17" eb="19">
      <t>スエヒロ</t>
    </rPh>
    <rPh sb="19" eb="20">
      <t>マチ</t>
    </rPh>
    <phoneticPr fontId="3"/>
  </si>
  <si>
    <t>株式会社ギケンテック
大阪府豊中市向丘３－１２－１１</t>
    <rPh sb="0" eb="2">
      <t>カブシキ</t>
    </rPh>
    <rPh sb="2" eb="4">
      <t>カイシャ</t>
    </rPh>
    <rPh sb="11" eb="14">
      <t>オオサカフ</t>
    </rPh>
    <rPh sb="14" eb="17">
      <t>トヨナカシ</t>
    </rPh>
    <rPh sb="17" eb="19">
      <t>ムコウガオカ</t>
    </rPh>
    <phoneticPr fontId="3"/>
  </si>
  <si>
    <t>株式会社和設計
大阪府交野市南星台５－５－２</t>
    <rPh sb="0" eb="4">
      <t>カブシキガイシャ</t>
    </rPh>
    <rPh sb="4" eb="5">
      <t>ナゴミ</t>
    </rPh>
    <rPh sb="5" eb="7">
      <t>セッケイ</t>
    </rPh>
    <rPh sb="8" eb="11">
      <t>オオサカフ</t>
    </rPh>
    <rPh sb="11" eb="14">
      <t>カタノシ</t>
    </rPh>
    <rPh sb="14" eb="17">
      <t>ナンセイダイ</t>
    </rPh>
    <phoneticPr fontId="3"/>
  </si>
  <si>
    <t>株式会社紀北総合警備
和歌山県伊都郡かつらぎ町中飯降３６７－１</t>
    <rPh sb="0" eb="2">
      <t>カブシキ</t>
    </rPh>
    <rPh sb="2" eb="4">
      <t>カイシャ</t>
    </rPh>
    <rPh sb="4" eb="6">
      <t>キホク</t>
    </rPh>
    <rPh sb="6" eb="8">
      <t>ソウゴウ</t>
    </rPh>
    <rPh sb="8" eb="10">
      <t>ケイビ</t>
    </rPh>
    <rPh sb="11" eb="15">
      <t>ワカヤマケン</t>
    </rPh>
    <rPh sb="15" eb="17">
      <t>イト</t>
    </rPh>
    <rPh sb="17" eb="18">
      <t>グン</t>
    </rPh>
    <rPh sb="22" eb="23">
      <t>チョウ</t>
    </rPh>
    <rPh sb="23" eb="24">
      <t>ナカ</t>
    </rPh>
    <rPh sb="24" eb="25">
      <t>メシ</t>
    </rPh>
    <rPh sb="25" eb="26">
      <t>オ</t>
    </rPh>
    <phoneticPr fontId="3"/>
  </si>
  <si>
    <t>ワールド綜合警備保障株式会社
大阪府堺市西区浜寺船尾町東４－５</t>
    <rPh sb="4" eb="14">
      <t>ソウゴウケイビホショウカブシキガイシャ</t>
    </rPh>
    <rPh sb="15" eb="18">
      <t>オオサカフ</t>
    </rPh>
    <rPh sb="18" eb="20">
      <t>サカイシ</t>
    </rPh>
    <rPh sb="20" eb="22">
      <t>ニシク</t>
    </rPh>
    <rPh sb="22" eb="24">
      <t>ハマデラ</t>
    </rPh>
    <rPh sb="24" eb="26">
      <t>フナオ</t>
    </rPh>
    <rPh sb="26" eb="27">
      <t>チョウ</t>
    </rPh>
    <rPh sb="27" eb="28">
      <t>ヒガシ</t>
    </rPh>
    <phoneticPr fontId="3"/>
  </si>
  <si>
    <t>株式会社谷澤総合鑑定所
大阪府大阪市北区中之島２－２－７</t>
    <rPh sb="0" eb="4">
      <t>カブシキガイシャ</t>
    </rPh>
    <rPh sb="4" eb="11">
      <t>タニザワソウゴウカンテイショ</t>
    </rPh>
    <rPh sb="12" eb="14">
      <t>オオサカ</t>
    </rPh>
    <rPh sb="14" eb="15">
      <t>フ</t>
    </rPh>
    <rPh sb="15" eb="18">
      <t>オオサカシ</t>
    </rPh>
    <rPh sb="18" eb="20">
      <t>キタク</t>
    </rPh>
    <rPh sb="20" eb="23">
      <t>ナカノシマ</t>
    </rPh>
    <phoneticPr fontId="3"/>
  </si>
  <si>
    <t>大型文書細断機の購入
大型文書細断機２台</t>
    <rPh sb="0" eb="2">
      <t>オオガタ</t>
    </rPh>
    <rPh sb="2" eb="4">
      <t>ブンショ</t>
    </rPh>
    <rPh sb="4" eb="6">
      <t>サイダン</t>
    </rPh>
    <rPh sb="6" eb="7">
      <t>キ</t>
    </rPh>
    <rPh sb="8" eb="10">
      <t>コウニュウ</t>
    </rPh>
    <rPh sb="11" eb="13">
      <t>オオガタ</t>
    </rPh>
    <rPh sb="13" eb="15">
      <t>ブンショ</t>
    </rPh>
    <rPh sb="15" eb="16">
      <t>サイ</t>
    </rPh>
    <rPh sb="16" eb="18">
      <t>ダンキ</t>
    </rPh>
    <rPh sb="19" eb="20">
      <t>ダイ</t>
    </rPh>
    <phoneticPr fontId="3"/>
  </si>
  <si>
    <t>会議用物品の購入
ミーティングテーブル４台　ほか１２品目</t>
    <rPh sb="0" eb="3">
      <t>カイギヨウ</t>
    </rPh>
    <rPh sb="3" eb="5">
      <t>ブッピン</t>
    </rPh>
    <rPh sb="6" eb="8">
      <t>コウニュウ</t>
    </rPh>
    <rPh sb="20" eb="21">
      <t>ダイ</t>
    </rPh>
    <rPh sb="26" eb="27">
      <t>ヒン</t>
    </rPh>
    <rPh sb="27" eb="28">
      <t>メ</t>
    </rPh>
    <phoneticPr fontId="3"/>
  </si>
  <si>
    <t>防犯カメラシステムの更新（区分2）
一式</t>
    <rPh sb="10" eb="12">
      <t>コウシン</t>
    </rPh>
    <rPh sb="18" eb="20">
      <t>イッシキ</t>
    </rPh>
    <phoneticPr fontId="3"/>
  </si>
  <si>
    <t>大阪合同庁舎第三号館7階天井内改修工事
大阪合同庁舎第三号館
大阪府大阪市中央区大手前１－５－６３
令和５年１月１２日～令和５年３月３１日</t>
    <rPh sb="0" eb="2">
      <t>オオサカ</t>
    </rPh>
    <rPh sb="2" eb="4">
      <t>ゴウドウ</t>
    </rPh>
    <rPh sb="4" eb="6">
      <t>チョウシャ</t>
    </rPh>
    <rPh sb="6" eb="7">
      <t>ダイ</t>
    </rPh>
    <rPh sb="7" eb="10">
      <t>サンゴウカン</t>
    </rPh>
    <rPh sb="11" eb="12">
      <t>カイ</t>
    </rPh>
    <rPh sb="12" eb="14">
      <t>テンジョウ</t>
    </rPh>
    <rPh sb="14" eb="15">
      <t>ナイ</t>
    </rPh>
    <rPh sb="15" eb="17">
      <t>カイシュウ</t>
    </rPh>
    <rPh sb="17" eb="19">
      <t>コウジ</t>
    </rPh>
    <rPh sb="20" eb="22">
      <t>オオサカ</t>
    </rPh>
    <rPh sb="22" eb="24">
      <t>ゴウドウ</t>
    </rPh>
    <rPh sb="24" eb="26">
      <t>チョウシャ</t>
    </rPh>
    <rPh sb="26" eb="27">
      <t>ダイ</t>
    </rPh>
    <rPh sb="27" eb="28">
      <t>サン</t>
    </rPh>
    <rPh sb="28" eb="30">
      <t>ゴウカン</t>
    </rPh>
    <rPh sb="31" eb="34">
      <t>オオサカフ</t>
    </rPh>
    <rPh sb="34" eb="37">
      <t>オオサカシ</t>
    </rPh>
    <rPh sb="37" eb="40">
      <t>チュウオウク</t>
    </rPh>
    <rPh sb="40" eb="43">
      <t>オオテマエ</t>
    </rPh>
    <phoneticPr fontId="3"/>
  </si>
  <si>
    <t>大淀税務署照明器具改修工事設計業務委託
大淀税務署
大阪府大阪市北区中津１－５－１６
令和５年１月２０日～令和５年３月３１日</t>
    <rPh sb="0" eb="2">
      <t>オオヨド</t>
    </rPh>
    <rPh sb="2" eb="5">
      <t>ゼイムショ</t>
    </rPh>
    <rPh sb="5" eb="7">
      <t>ショウメイ</t>
    </rPh>
    <rPh sb="7" eb="9">
      <t>キグ</t>
    </rPh>
    <rPh sb="9" eb="11">
      <t>カイシュウ</t>
    </rPh>
    <rPh sb="11" eb="13">
      <t>コウジ</t>
    </rPh>
    <rPh sb="13" eb="15">
      <t>セッケイ</t>
    </rPh>
    <rPh sb="15" eb="17">
      <t>ギョウム</t>
    </rPh>
    <rPh sb="17" eb="19">
      <t>イタク</t>
    </rPh>
    <rPh sb="20" eb="22">
      <t>オオヨド</t>
    </rPh>
    <rPh sb="22" eb="25">
      <t>ゼイムショ</t>
    </rPh>
    <rPh sb="26" eb="29">
      <t>オオサカフ</t>
    </rPh>
    <rPh sb="29" eb="32">
      <t>オオサカシ</t>
    </rPh>
    <rPh sb="32" eb="34">
      <t>キタク</t>
    </rPh>
    <rPh sb="34" eb="36">
      <t>ナカツ</t>
    </rPh>
    <rPh sb="43" eb="45">
      <t>レイワ</t>
    </rPh>
    <rPh sb="46" eb="47">
      <t>ネン</t>
    </rPh>
    <rPh sb="48" eb="49">
      <t>ガツ</t>
    </rPh>
    <rPh sb="51" eb="52">
      <t>ニチ</t>
    </rPh>
    <rPh sb="53" eb="55">
      <t>レイワ</t>
    </rPh>
    <rPh sb="56" eb="57">
      <t>ネン</t>
    </rPh>
    <rPh sb="58" eb="59">
      <t>ガツ</t>
    </rPh>
    <rPh sb="61" eb="62">
      <t>ニチ</t>
    </rPh>
    <phoneticPr fontId="3"/>
  </si>
  <si>
    <t>八尾及び富田林税務署照明器具改修工事設計業務委託
八尾税務署
大阪府八尾市高美町３－２－２９
富田林税務署
大阪府富田林市若松町西２－１６９７－１
令和５年１月２０日～令和５年３月３１日</t>
    <rPh sb="0" eb="2">
      <t>ヤオ</t>
    </rPh>
    <rPh sb="2" eb="3">
      <t>オヨ</t>
    </rPh>
    <rPh sb="4" eb="7">
      <t>トンダバヤシ</t>
    </rPh>
    <rPh sb="7" eb="10">
      <t>ゼイムショ</t>
    </rPh>
    <rPh sb="10" eb="12">
      <t>ショウメイ</t>
    </rPh>
    <rPh sb="12" eb="14">
      <t>キグ</t>
    </rPh>
    <rPh sb="14" eb="16">
      <t>カイシュウ</t>
    </rPh>
    <rPh sb="16" eb="18">
      <t>コウジ</t>
    </rPh>
    <rPh sb="18" eb="20">
      <t>セッケイ</t>
    </rPh>
    <rPh sb="20" eb="22">
      <t>ギョウム</t>
    </rPh>
    <rPh sb="22" eb="24">
      <t>イタク</t>
    </rPh>
    <rPh sb="25" eb="27">
      <t>ヤオ</t>
    </rPh>
    <rPh sb="27" eb="30">
      <t>ゼイムショ</t>
    </rPh>
    <rPh sb="31" eb="34">
      <t>オオサカフ</t>
    </rPh>
    <rPh sb="34" eb="37">
      <t>ヤオシ</t>
    </rPh>
    <rPh sb="37" eb="40">
      <t>タカミチョウ</t>
    </rPh>
    <rPh sb="47" eb="50">
      <t>トンダバヤシ</t>
    </rPh>
    <rPh sb="50" eb="53">
      <t>ゼイムショ</t>
    </rPh>
    <rPh sb="54" eb="57">
      <t>オオサカフ</t>
    </rPh>
    <rPh sb="57" eb="61">
      <t>トンダバヤシシ</t>
    </rPh>
    <rPh sb="61" eb="63">
      <t>ワカマツ</t>
    </rPh>
    <rPh sb="63" eb="64">
      <t>マチ</t>
    </rPh>
    <rPh sb="64" eb="65">
      <t>ニシ</t>
    </rPh>
    <rPh sb="74" eb="76">
      <t>レイワ</t>
    </rPh>
    <rPh sb="77" eb="78">
      <t>ネン</t>
    </rPh>
    <rPh sb="79" eb="80">
      <t>ガツ</t>
    </rPh>
    <rPh sb="82" eb="83">
      <t>ニチ</t>
    </rPh>
    <rPh sb="84" eb="86">
      <t>レイワ</t>
    </rPh>
    <rPh sb="87" eb="88">
      <t>ネン</t>
    </rPh>
    <rPh sb="89" eb="90">
      <t>ガツ</t>
    </rPh>
    <rPh sb="92" eb="93">
      <t>ニチ</t>
    </rPh>
    <phoneticPr fontId="3"/>
  </si>
  <si>
    <t>神戸、灘税務署及び大阪国税局灘集中簿書庫照明器具改修工事設計業務委託
神戸税務署
兵庫県神戸市中央区中山手通２－２－２０
灘税務署
大阪国税局灘集中簿書庫
兵庫県神戸市灘区泉通２－１－２
令和５年１月２０日～令和５年３月３１日</t>
    <rPh sb="0" eb="2">
      <t>コウベ</t>
    </rPh>
    <rPh sb="3" eb="4">
      <t>ナダ</t>
    </rPh>
    <rPh sb="4" eb="7">
      <t>ゼイムショ</t>
    </rPh>
    <rPh sb="7" eb="8">
      <t>オヨ</t>
    </rPh>
    <rPh sb="9" eb="11">
      <t>オオサカ</t>
    </rPh>
    <rPh sb="11" eb="14">
      <t>コクゼイキョク</t>
    </rPh>
    <rPh sb="14" eb="15">
      <t>ナダ</t>
    </rPh>
    <rPh sb="15" eb="17">
      <t>シュウチュウ</t>
    </rPh>
    <rPh sb="17" eb="19">
      <t>ボショ</t>
    </rPh>
    <rPh sb="19" eb="20">
      <t>コ</t>
    </rPh>
    <rPh sb="20" eb="22">
      <t>ショウメイ</t>
    </rPh>
    <rPh sb="22" eb="24">
      <t>キグ</t>
    </rPh>
    <rPh sb="24" eb="26">
      <t>カイシュウ</t>
    </rPh>
    <rPh sb="26" eb="28">
      <t>コウジ</t>
    </rPh>
    <rPh sb="28" eb="30">
      <t>セッケイ</t>
    </rPh>
    <rPh sb="30" eb="32">
      <t>ギョウム</t>
    </rPh>
    <rPh sb="32" eb="34">
      <t>イタク</t>
    </rPh>
    <rPh sb="35" eb="37">
      <t>コウベ</t>
    </rPh>
    <rPh sb="37" eb="40">
      <t>ゼイムショ</t>
    </rPh>
    <rPh sb="41" eb="44">
      <t>ヒョウゴケン</t>
    </rPh>
    <rPh sb="44" eb="47">
      <t>コウベシ</t>
    </rPh>
    <rPh sb="47" eb="50">
      <t>チュウオウク</t>
    </rPh>
    <rPh sb="50" eb="52">
      <t>ナカヤマ</t>
    </rPh>
    <rPh sb="52" eb="53">
      <t>テ</t>
    </rPh>
    <rPh sb="53" eb="54">
      <t>トオ</t>
    </rPh>
    <rPh sb="61" eb="62">
      <t>ナダ</t>
    </rPh>
    <rPh sb="62" eb="65">
      <t>ゼイムショ</t>
    </rPh>
    <rPh sb="66" eb="68">
      <t>オオサカ</t>
    </rPh>
    <rPh sb="68" eb="71">
      <t>コクゼイキョク</t>
    </rPh>
    <rPh sb="71" eb="72">
      <t>ナダ</t>
    </rPh>
    <rPh sb="72" eb="74">
      <t>シュウチュウ</t>
    </rPh>
    <rPh sb="74" eb="76">
      <t>ボショ</t>
    </rPh>
    <rPh sb="76" eb="77">
      <t>コ</t>
    </rPh>
    <rPh sb="78" eb="81">
      <t>ヒョウゴケン</t>
    </rPh>
    <rPh sb="81" eb="84">
      <t>コウベシ</t>
    </rPh>
    <rPh sb="84" eb="86">
      <t>ナダク</t>
    </rPh>
    <rPh sb="86" eb="87">
      <t>イズミ</t>
    </rPh>
    <rPh sb="87" eb="88">
      <t>トオ</t>
    </rPh>
    <rPh sb="94" eb="96">
      <t>レイワ</t>
    </rPh>
    <rPh sb="97" eb="98">
      <t>ネン</t>
    </rPh>
    <rPh sb="99" eb="100">
      <t>ガツ</t>
    </rPh>
    <rPh sb="102" eb="103">
      <t>ニチ</t>
    </rPh>
    <rPh sb="104" eb="106">
      <t>レイワ</t>
    </rPh>
    <rPh sb="107" eb="108">
      <t>ネン</t>
    </rPh>
    <rPh sb="109" eb="110">
      <t>ガツ</t>
    </rPh>
    <rPh sb="112" eb="113">
      <t>ニチ</t>
    </rPh>
    <phoneticPr fontId="3"/>
  </si>
  <si>
    <t>泉佐野及び洲本税務署の申告会場駐車場等警備業務
（区分Ａ）
泉佐野署</t>
    <rPh sb="0" eb="4">
      <t>イズミサノオヨ</t>
    </rPh>
    <rPh sb="5" eb="10">
      <t>スモトゼイムショ</t>
    </rPh>
    <rPh sb="25" eb="27">
      <t>クブン</t>
    </rPh>
    <rPh sb="30" eb="33">
      <t>イズミサノ</t>
    </rPh>
    <rPh sb="33" eb="34">
      <t>ショ</t>
    </rPh>
    <phoneticPr fontId="30"/>
  </si>
  <si>
    <t>泉佐野及び洲本税務署の申告会場駐車場等警備業務
（区分Ｂ）
洲本署</t>
    <rPh sb="0" eb="4">
      <t>イズミサノオヨ</t>
    </rPh>
    <rPh sb="5" eb="10">
      <t>スモトゼイムショ</t>
    </rPh>
    <rPh sb="25" eb="27">
      <t>クブン</t>
    </rPh>
    <rPh sb="30" eb="32">
      <t>スモト</t>
    </rPh>
    <rPh sb="32" eb="33">
      <t>ショ</t>
    </rPh>
    <phoneticPr fontId="30"/>
  </si>
  <si>
    <t>Di398</t>
    <phoneticPr fontId="3"/>
  </si>
  <si>
    <t>Di399</t>
    <phoneticPr fontId="3"/>
  </si>
  <si>
    <t>Di400</t>
    <phoneticPr fontId="3"/>
  </si>
  <si>
    <t>Di401</t>
  </si>
  <si>
    <t>Di402</t>
  </si>
  <si>
    <t>Di403</t>
  </si>
  <si>
    <t>Di404</t>
  </si>
  <si>
    <t>Di405</t>
  </si>
  <si>
    <t>Di406</t>
  </si>
  <si>
    <t>Di407</t>
  </si>
  <si>
    <t>Di408</t>
    <phoneticPr fontId="3"/>
  </si>
  <si>
    <t>一般競争入札</t>
  </si>
  <si>
    <t>公表</t>
    <rPh sb="0" eb="2">
      <t>コウヒョウ</t>
    </rPh>
    <phoneticPr fontId="3"/>
  </si>
  <si>
    <t>－</t>
  </si>
  <si>
    <t>大淀税務署照明器具改修工事設計業務委託
大淀税務署
大阪府大阪市北区中津１－５－１６
令和５年１月２０日～令和５年３月３１日</t>
  </si>
  <si>
    <t>株式会社和設計
大阪府交野市南星台５－５－２</t>
  </si>
  <si>
    <t>同種の他の契約の予定価格を類推されるおそれがあるため公表しない</t>
  </si>
  <si>
    <t/>
  </si>
  <si>
    <t>八尾及び富田林税務署照明器具改修工事設計業務委託
八尾税務署
大阪府八尾市高美町３－２－２９
富田林税務署
大阪府富田林市若松町西２－１６９７－１
令和５年１月２０日～令和５年３月３１日</t>
  </si>
  <si>
    <t>神戸、灘税務署及び大阪国税局灘集中簿書庫照明器具改修工事設計業務委託
神戸税務署
兵庫県神戸市中央区中山手通２－２－２０
灘税務署
大阪国税局灘集中簿書庫
兵庫県神戸市灘区泉通２－１－２
令和５年１月２０日～令和５年３月３１日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</si>
</sst>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3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11"/>
      <color theme="1"/>
      <name val="ＭＳ 明朝"/>
      <family val="1"/>
      <charset val="128"/>
    </font>
    <font>
      <sz val="8"/>
      <name val="ＭＳ Ｐゴシック"/>
      <family val="2"/>
    </font>
    <font>
      <sz val="11"/>
      <name val="ＭＳ Ｐゴシック"/>
      <family val="3"/>
      <charset val="128"/>
      <scheme val="minor"/>
    </font>
    <font>
      <sz val="11"/>
      <color rgb="FF9C5700"/>
      <name val="ＭＳ Ｐゴシック"/>
      <family val="2"/>
      <charset val="128"/>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50">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0" fontId="8" fillId="0" borderId="0" xfId="2" applyFont="1" applyAlignment="1">
      <alignment vertical="center"/>
    </xf>
    <xf numFmtId="0" fontId="9" fillId="0" borderId="0" xfId="2" applyFont="1">
      <alignment vertical="center"/>
    </xf>
    <xf numFmtId="0" fontId="10" fillId="0" borderId="14" xfId="2" applyFont="1" applyBorder="1" applyAlignment="1">
      <alignment vertical="center"/>
    </xf>
    <xf numFmtId="0" fontId="10" fillId="0" borderId="0" xfId="2" applyFont="1" applyBorder="1" applyAlignme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0" xfId="2" applyFont="1" applyFill="1">
      <alignment vertical="center"/>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18" xfId="2" applyFont="1" applyFill="1" applyBorder="1" applyAlignment="1">
      <alignment vertical="center" wrapText="1"/>
    </xf>
    <xf numFmtId="0" fontId="10" fillId="0" borderId="0" xfId="2" applyFont="1" applyBorder="1" applyAlignment="1">
      <alignment vertical="center" wrapText="1"/>
    </xf>
    <xf numFmtId="0" fontId="10" fillId="0" borderId="0" xfId="2" applyFont="1" applyBorder="1">
      <alignment vertical="center"/>
    </xf>
    <xf numFmtId="0" fontId="10" fillId="0" borderId="0" xfId="2" applyFont="1">
      <alignment vertical="center"/>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19" xfId="2" applyFont="1" applyFill="1" applyBorder="1" applyAlignment="1">
      <alignment vertical="center" wrapText="1"/>
    </xf>
    <xf numFmtId="0" fontId="10" fillId="0" borderId="21" xfId="2" applyFont="1" applyBorder="1">
      <alignment vertical="center"/>
    </xf>
    <xf numFmtId="0" fontId="10" fillId="0" borderId="23" xfId="2" applyFont="1" applyBorder="1" applyAlignment="1">
      <alignment vertical="center" shrinkToFit="1"/>
    </xf>
    <xf numFmtId="0" fontId="10" fillId="0" borderId="21" xfId="2" applyFont="1" applyFill="1" applyBorder="1" applyAlignment="1">
      <alignment vertical="center" wrapTex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9" fillId="0" borderId="0" xfId="2" applyFont="1" applyBorder="1">
      <alignment vertical="center"/>
    </xf>
    <xf numFmtId="0" fontId="5" fillId="0" borderId="3" xfId="2" applyNumberFormat="1" applyFont="1" applyFill="1" applyBorder="1" applyAlignment="1" applyProtection="1">
      <alignment horizontal="center" vertical="center" wrapText="1"/>
      <protection locked="0"/>
    </xf>
    <xf numFmtId="0" fontId="1" fillId="0" borderId="0" xfId="7" applyAlignment="1">
      <alignment vertical="center"/>
    </xf>
    <xf numFmtId="0" fontId="10" fillId="0" borderId="0" xfId="2" applyFont="1" applyAlignment="1">
      <alignment vertical="center"/>
    </xf>
    <xf numFmtId="0" fontId="15" fillId="0" borderId="0" xfId="7"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3" fillId="0" borderId="0" xfId="0" applyFont="1" applyFill="1" applyAlignment="1" applyProtection="1">
      <alignment horizontal="center" vertical="center" wrapText="1"/>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16" fillId="0" borderId="0" xfId="2" applyFont="1" applyAlignment="1">
      <alignment vertical="center"/>
    </xf>
    <xf numFmtId="0" fontId="17" fillId="0" borderId="0" xfId="7" applyFont="1" applyAlignment="1">
      <alignment vertical="center"/>
    </xf>
    <xf numFmtId="0" fontId="18" fillId="0" borderId="0" xfId="7" applyFont="1" applyAlignment="1">
      <alignment vertical="center"/>
    </xf>
    <xf numFmtId="0" fontId="19" fillId="0" borderId="0" xfId="2" applyFont="1" applyAlignment="1">
      <alignment vertical="center"/>
    </xf>
    <xf numFmtId="0" fontId="19" fillId="0" borderId="0" xfId="2" applyFont="1">
      <alignment vertical="center"/>
    </xf>
    <xf numFmtId="0" fontId="19" fillId="0" borderId="0" xfId="2" applyFont="1" applyFill="1" applyAlignment="1">
      <alignment vertical="center"/>
    </xf>
    <xf numFmtId="38" fontId="19" fillId="0" borderId="0" xfId="1" applyFont="1" applyAlignment="1">
      <alignment vertical="center"/>
    </xf>
    <xf numFmtId="0" fontId="0" fillId="0" borderId="0" xfId="0" applyProtection="1">
      <protection locked="0"/>
    </xf>
    <xf numFmtId="0" fontId="0" fillId="0" borderId="0" xfId="0" applyAlignment="1" applyProtection="1">
      <alignment horizontal="center" vertical="center"/>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26" xfId="2" applyFont="1" applyFill="1" applyBorder="1" applyAlignment="1" applyProtection="1">
      <alignment vertical="top"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pplyProtection="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Border="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10" fillId="7" borderId="3" xfId="2" applyFont="1" applyFill="1" applyBorder="1" applyAlignment="1">
      <alignment vertical="top" wrapText="1"/>
    </xf>
    <xf numFmtId="0" fontId="10" fillId="0" borderId="3" xfId="2" applyFont="1" applyBorder="1" applyAlignment="1">
      <alignment vertical="center" wrapText="1"/>
    </xf>
    <xf numFmtId="0" fontId="10" fillId="0" borderId="3" xfId="2" applyFont="1" applyBorder="1">
      <alignment vertical="center"/>
    </xf>
    <xf numFmtId="0" fontId="21" fillId="0" borderId="13" xfId="2" applyFont="1" applyFill="1" applyBorder="1" applyAlignment="1">
      <alignment vertical="center" wrapText="1"/>
    </xf>
    <xf numFmtId="0" fontId="23" fillId="0" borderId="0" xfId="8" applyFont="1" applyFill="1">
      <alignment vertical="center"/>
    </xf>
    <xf numFmtId="0" fontId="23" fillId="0" borderId="0" xfId="8" applyFont="1" applyFill="1" applyAlignment="1">
      <alignment horizontal="center" vertical="center"/>
    </xf>
    <xf numFmtId="0" fontId="25" fillId="0" borderId="0" xfId="8" applyFont="1" applyFill="1" applyAlignment="1">
      <alignment horizontal="center" vertical="center"/>
    </xf>
    <xf numFmtId="0" fontId="25" fillId="0" borderId="0" xfId="8" applyFont="1" applyFill="1">
      <alignment vertical="center"/>
    </xf>
    <xf numFmtId="38" fontId="25" fillId="0" borderId="0" xfId="5" applyFont="1" applyFill="1" applyAlignment="1">
      <alignment horizontal="center" vertical="center"/>
    </xf>
    <xf numFmtId="180" fontId="25" fillId="0" borderId="0" xfId="8" applyNumberFormat="1" applyFont="1" applyFill="1">
      <alignment vertical="center"/>
    </xf>
    <xf numFmtId="0" fontId="25" fillId="0" borderId="0" xfId="3" applyFont="1"/>
    <xf numFmtId="0" fontId="25" fillId="0" borderId="0" xfId="3" applyFont="1" applyAlignment="1">
      <alignment horizontal="right" vertical="center"/>
    </xf>
    <xf numFmtId="0" fontId="21" fillId="0" borderId="3" xfId="3" applyFont="1" applyFill="1" applyBorder="1" applyAlignment="1">
      <alignment vertical="center" wrapText="1"/>
    </xf>
    <xf numFmtId="180" fontId="21" fillId="0" borderId="3" xfId="3" applyNumberFormat="1" applyFont="1" applyFill="1" applyBorder="1" applyAlignment="1">
      <alignment vertical="center" wrapText="1"/>
    </xf>
    <xf numFmtId="0" fontId="25" fillId="0" borderId="0" xfId="8" applyFont="1" applyFill="1" applyAlignment="1">
      <alignment horizontal="center" vertical="center" wrapText="1"/>
    </xf>
    <xf numFmtId="0" fontId="23" fillId="0" borderId="3" xfId="8" applyFont="1" applyBorder="1" applyAlignment="1">
      <alignment horizontal="center" vertical="center" wrapText="1"/>
    </xf>
    <xf numFmtId="0" fontId="26" fillId="0" borderId="13" xfId="8" applyFont="1" applyFill="1" applyBorder="1" applyAlignment="1">
      <alignment vertical="center" wrapText="1"/>
    </xf>
    <xf numFmtId="184" fontId="21" fillId="0" borderId="13" xfId="2" applyNumberFormat="1" applyFont="1" applyFill="1" applyBorder="1" applyAlignment="1">
      <alignment horizontal="center" vertical="center" wrapText="1"/>
    </xf>
    <xf numFmtId="180" fontId="26" fillId="0" borderId="13" xfId="8" applyNumberFormat="1" applyFont="1" applyFill="1" applyBorder="1" applyAlignment="1">
      <alignment horizontal="center" vertical="center" wrapText="1"/>
    </xf>
    <xf numFmtId="178" fontId="21" fillId="0" borderId="13" xfId="2" applyNumberFormat="1" applyFont="1" applyFill="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5" applyNumberFormat="1" applyFont="1" applyFill="1" applyBorder="1" applyAlignment="1">
      <alignment horizontal="center" vertical="center" wrapText="1" shrinkToFit="1"/>
    </xf>
    <xf numFmtId="182" fontId="21" fillId="0" borderId="13" xfId="9" applyNumberFormat="1" applyFont="1" applyFill="1" applyBorder="1" applyAlignment="1">
      <alignment horizontal="center" vertical="center" wrapText="1"/>
    </xf>
    <xf numFmtId="180" fontId="21" fillId="0" borderId="13" xfId="9" applyNumberFormat="1" applyFont="1" applyFill="1" applyBorder="1" applyAlignment="1">
      <alignment horizontal="center" vertical="center" wrapText="1"/>
    </xf>
    <xf numFmtId="0" fontId="26" fillId="0" borderId="13" xfId="8" applyFont="1" applyFill="1" applyBorder="1" applyAlignment="1">
      <alignment horizontal="left" vertical="center" wrapTex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pplyProtection="1">
      <alignment horizontal="center" vertical="center"/>
    </xf>
    <xf numFmtId="0" fontId="5" fillId="5" borderId="3" xfId="2" applyNumberFormat="1" applyFont="1" applyFill="1" applyBorder="1" applyAlignment="1" applyProtection="1">
      <alignment vertical="top" wrapText="1"/>
      <protection locked="0"/>
    </xf>
    <xf numFmtId="0" fontId="5" fillId="5" borderId="3" xfId="2" applyNumberFormat="1" applyFont="1" applyFill="1" applyBorder="1" applyAlignment="1" applyProtection="1">
      <alignment horizontal="left" vertical="top" wrapText="1"/>
      <protection locked="0"/>
    </xf>
    <xf numFmtId="0" fontId="27" fillId="0" borderId="15" xfId="0" applyFont="1" applyBorder="1" applyAlignment="1">
      <alignment horizontal="justify" vertical="center" wrapText="1"/>
    </xf>
    <xf numFmtId="0" fontId="27" fillId="0" borderId="30" xfId="0" applyFont="1" applyBorder="1" applyAlignment="1">
      <alignment horizontal="left" vertical="center" wrapText="1"/>
    </xf>
    <xf numFmtId="0" fontId="27" fillId="0" borderId="30" xfId="0" applyFont="1" applyBorder="1" applyAlignment="1">
      <alignment horizontal="justify" vertical="center" wrapText="1"/>
    </xf>
    <xf numFmtId="0" fontId="5" fillId="0" borderId="3" xfId="2" applyFont="1" applyBorder="1" applyAlignment="1" applyProtection="1">
      <alignment horizontal="center" vertical="center" wrapText="1"/>
      <protection locked="0"/>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5" borderId="3" xfId="2" applyFont="1" applyFill="1" applyBorder="1" applyAlignment="1" applyProtection="1">
      <alignment vertical="top" wrapText="1"/>
      <protection locked="0"/>
    </xf>
    <xf numFmtId="17" fontId="5" fillId="5" borderId="13" xfId="2" applyNumberFormat="1" applyFont="1" applyFill="1" applyBorder="1" applyAlignment="1" applyProtection="1">
      <alignment vertical="top" wrapText="1"/>
      <protection locked="0"/>
    </xf>
    <xf numFmtId="0" fontId="5" fillId="0" borderId="0" xfId="2" applyFont="1" applyAlignment="1" applyProtection="1">
      <alignment vertical="center" wrapText="1"/>
      <protection locked="0"/>
    </xf>
    <xf numFmtId="0" fontId="5" fillId="0" borderId="0" xfId="2" applyFont="1" applyProtection="1">
      <alignment vertical="center"/>
      <protection locked="0"/>
    </xf>
    <xf numFmtId="56" fontId="7" fillId="3" borderId="13" xfId="2" quotePrefix="1" applyNumberFormat="1" applyFont="1" applyFill="1" applyBorder="1" applyAlignment="1" applyProtection="1">
      <alignment vertical="top" wrapText="1"/>
      <protection locked="0"/>
    </xf>
    <xf numFmtId="0" fontId="7" fillId="3" borderId="13" xfId="2" quotePrefix="1" applyFont="1" applyFill="1" applyBorder="1" applyAlignment="1" applyProtection="1">
      <alignment vertical="top" wrapText="1"/>
      <protection locked="0"/>
    </xf>
    <xf numFmtId="17" fontId="7" fillId="13" borderId="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0" fontId="5" fillId="14" borderId="3" xfId="2" applyNumberFormat="1" applyFont="1" applyFill="1" applyBorder="1" applyAlignment="1" applyProtection="1">
      <alignment vertical="center" wrapText="1"/>
      <protection locked="0"/>
    </xf>
    <xf numFmtId="0" fontId="28" fillId="0" borderId="3" xfId="2" applyNumberFormat="1" applyFont="1" applyFill="1" applyBorder="1" applyAlignment="1" applyProtection="1">
      <alignment horizontal="center" vertical="center"/>
      <protection locked="0"/>
    </xf>
    <xf numFmtId="0" fontId="29" fillId="0" borderId="0" xfId="0" applyFont="1" applyProtection="1">
      <protection locked="0"/>
    </xf>
    <xf numFmtId="0" fontId="0" fillId="0" borderId="0" xfId="0" applyAlignment="1" applyProtection="1">
      <alignment horizontal="center"/>
      <protection locked="0"/>
    </xf>
    <xf numFmtId="0" fontId="5" fillId="0" borderId="2"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6" borderId="3" xfId="2" applyNumberFormat="1" applyFont="1" applyFill="1" applyBorder="1" applyAlignment="1" applyProtection="1">
      <alignment horizontal="center" vertical="top" wrapText="1"/>
      <protection locked="0"/>
    </xf>
    <xf numFmtId="181" fontId="5" fillId="14" borderId="3" xfId="1" applyNumberFormat="1" applyFont="1" applyFill="1" applyBorder="1" applyAlignment="1" applyProtection="1">
      <alignment horizontal="center" vertical="center" wrapText="1"/>
      <protection locked="0"/>
    </xf>
    <xf numFmtId="181" fontId="5" fillId="14" borderId="3" xfId="1" quotePrefix="1" applyNumberFormat="1" applyFont="1" applyFill="1" applyBorder="1" applyAlignment="1" applyProtection="1">
      <alignment horizontal="center" vertical="center"/>
      <protection locked="0"/>
    </xf>
    <xf numFmtId="180" fontId="5" fillId="14" borderId="3" xfId="2" applyNumberFormat="1" applyFont="1" applyFill="1" applyBorder="1" applyAlignment="1" applyProtection="1">
      <alignment horizontal="center" vertical="center" wrapTex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7" fillId="13" borderId="4" xfId="2" applyFont="1" applyFill="1" applyBorder="1" applyAlignment="1" applyProtection="1">
      <alignment horizontal="left" vertical="center" wrapText="1"/>
      <protection locked="0"/>
    </xf>
    <xf numFmtId="0" fontId="7" fillId="13" borderId="9" xfId="2" applyFont="1" applyFill="1" applyBorder="1" applyAlignment="1" applyProtection="1">
      <alignment horizontal="left" vertical="center" wrapText="1"/>
      <protection locked="0"/>
    </xf>
    <xf numFmtId="0" fontId="7"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6" fillId="0" borderId="3" xfId="8" applyFont="1" applyFill="1" applyBorder="1" applyAlignment="1">
      <alignment horizontal="center" vertical="center" wrapText="1"/>
    </xf>
    <xf numFmtId="0" fontId="25" fillId="0" borderId="3" xfId="8" applyFont="1" applyFill="1" applyBorder="1" applyAlignment="1">
      <alignment horizontal="center" vertical="center"/>
    </xf>
    <xf numFmtId="0" fontId="22" fillId="0" borderId="0" xfId="8" applyFont="1" applyAlignment="1">
      <alignment horizontal="left" vertical="center" wrapText="1"/>
    </xf>
    <xf numFmtId="0" fontId="24" fillId="0" borderId="0" xfId="8" applyFont="1" applyAlignment="1">
      <alignment horizontal="left" vertical="center" wrapText="1"/>
    </xf>
    <xf numFmtId="0" fontId="24" fillId="0" borderId="1" xfId="8" applyFont="1" applyBorder="1" applyAlignment="1">
      <alignment horizontal="left" vertic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26" fillId="0" borderId="28" xfId="8" applyFont="1" applyFill="1" applyBorder="1" applyAlignment="1">
      <alignment horizontal="center" vertical="center" wrapText="1"/>
    </xf>
    <xf numFmtId="0" fontId="26" fillId="0" borderId="13" xfId="8" applyFont="1" applyFill="1" applyBorder="1" applyAlignment="1">
      <alignment horizontal="center" vertical="center" wrapText="1"/>
    </xf>
    <xf numFmtId="38" fontId="26" fillId="0" borderId="3" xfId="5" applyFont="1" applyFill="1" applyBorder="1" applyAlignment="1">
      <alignment horizontal="center" vertical="center" wrapText="1"/>
    </xf>
  </cellXfs>
  <cellStyles count="10">
    <cellStyle name="パーセント 2" xfId="9" xr:uid="{00000000-0005-0000-0000-000000000000}"/>
    <cellStyle name="桁区切り" xfId="1" builtinId="6"/>
    <cellStyle name="桁区切り 2" xfId="5" xr:uid="{00000000-0005-0000-0000-000002000000}"/>
    <cellStyle name="桁区切り 2 2" xfId="6" xr:uid="{00000000-0005-0000-0000-000003000000}"/>
    <cellStyle name="標準" xfId="0" builtinId="0"/>
    <cellStyle name="標準 2" xfId="3" xr:uid="{00000000-0005-0000-0000-000005000000}"/>
    <cellStyle name="標準 3" xfId="7" xr:uid="{00000000-0005-0000-0000-000006000000}"/>
    <cellStyle name="標準_23.4月" xfId="8" xr:uid="{00000000-0005-0000-0000-000008000000}"/>
    <cellStyle name="標準_別紙３" xfId="2" xr:uid="{00000000-0005-0000-0000-000009000000}"/>
    <cellStyle name="標準_別紙３ 2" xfId="4" xr:uid="{00000000-0005-0000-0000-00000A000000}"/>
  </cellStyles>
  <dxfs count="33">
    <dxf>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6"/>
  <sheetViews>
    <sheetView view="pageBreakPreview" topLeftCell="G1" zoomScaleNormal="100" zoomScaleSheetLayoutView="100" workbookViewId="0">
      <selection activeCell="U8" sqref="U8"/>
    </sheetView>
  </sheetViews>
  <sheetFormatPr defaultColWidth="6.25" defaultRowHeight="13.5"/>
  <cols>
    <col min="1" max="1" width="6.375" style="98" hidden="1" customWidth="1"/>
    <col min="2" max="2" width="3.5" style="98" hidden="1" customWidth="1"/>
    <col min="3" max="3" width="4.875" style="98" hidden="1" customWidth="1"/>
    <col min="4" max="4" width="5.375" style="98" hidden="1" customWidth="1"/>
    <col min="5" max="5" width="3.875" style="98" hidden="1" customWidth="1"/>
    <col min="6" max="6" width="5.375" style="98" hidden="1" customWidth="1"/>
    <col min="7" max="7" width="6.25" style="98"/>
    <col min="8" max="8" width="6.25" style="200"/>
    <col min="9" max="9" width="34.5" style="98" customWidth="1"/>
    <col min="10" max="10" width="17.875" style="98" customWidth="1"/>
    <col min="11" max="12" width="6.25" style="98"/>
    <col min="13" max="13" width="11.25" style="98" customWidth="1"/>
    <col min="14" max="14" width="23.5" style="98" customWidth="1"/>
    <col min="15" max="15" width="12.125" style="86" customWidth="1"/>
    <col min="16" max="19" width="6.25" style="98"/>
    <col min="20" max="20" width="10.875" style="87" customWidth="1"/>
    <col min="21" max="21" width="12.75" style="98" customWidth="1"/>
    <col min="22" max="22" width="12" style="88" customWidth="1"/>
    <col min="23" max="27" width="6.25" style="98"/>
    <col min="28" max="29" width="6.25" style="86"/>
    <col min="30" max="33" width="6.25" style="98"/>
    <col min="34" max="34" width="18.125" style="98" customWidth="1"/>
    <col min="35" max="35" width="17.875" style="98" customWidth="1"/>
    <col min="36" max="36" width="11.75" style="98" customWidth="1"/>
    <col min="37" max="49" width="6.25" style="98"/>
    <col min="50" max="50" width="14.25" style="98" customWidth="1"/>
    <col min="51" max="53" width="6.25" style="98"/>
    <col min="54" max="54" width="6.25" style="51"/>
    <col min="55" max="59" width="6.25" style="52"/>
    <col min="60" max="60" width="6.25" style="170"/>
    <col min="61" max="61" width="6.25" style="52"/>
    <col min="62" max="62" width="6.25" style="98"/>
    <col min="63" max="63" width="6.25" style="170"/>
    <col min="64" max="67" width="6.25" style="99"/>
    <col min="68" max="16384" width="6.25" style="98"/>
  </cols>
  <sheetData>
    <row r="1" spans="1:68" ht="27" customHeight="1">
      <c r="G1" s="114" t="s">
        <v>192</v>
      </c>
      <c r="J1" s="169" t="s">
        <v>206</v>
      </c>
      <c r="O1" s="98"/>
      <c r="T1" s="98"/>
      <c r="V1" s="98"/>
      <c r="AB1" s="98"/>
      <c r="AC1" s="104"/>
      <c r="AK1" s="46"/>
      <c r="AL1" s="46"/>
      <c r="AM1" s="191"/>
      <c r="AN1" s="191"/>
      <c r="AO1" s="191"/>
      <c r="AP1" s="191"/>
      <c r="AQ1" s="192"/>
      <c r="AR1" s="47"/>
      <c r="AS1" s="48"/>
      <c r="AT1" s="47"/>
      <c r="AU1" s="47"/>
      <c r="AV1" s="47"/>
      <c r="AW1" s="47"/>
      <c r="AX1" s="49"/>
      <c r="AY1" s="50"/>
      <c r="AZ1" s="50"/>
      <c r="BA1" s="60"/>
      <c r="BJ1" s="60"/>
    </row>
    <row r="2" spans="1:68" ht="14.25" customHeight="1" thickBot="1">
      <c r="G2" s="41"/>
      <c r="H2" s="201"/>
      <c r="I2" s="89">
        <f>SUBTOTAL(3,I6:I16)</f>
        <v>11</v>
      </c>
      <c r="J2" s="41"/>
      <c r="K2" s="103"/>
      <c r="L2" s="103"/>
      <c r="M2" s="60"/>
      <c r="N2" s="41"/>
      <c r="O2" s="42"/>
      <c r="P2" s="208" t="s">
        <v>128</v>
      </c>
      <c r="Q2" s="208"/>
      <c r="R2" s="41"/>
      <c r="S2" s="41"/>
      <c r="T2" s="43"/>
      <c r="U2" s="41"/>
      <c r="V2" s="44"/>
      <c r="W2" s="41"/>
      <c r="X2" s="41"/>
      <c r="Y2" s="41"/>
      <c r="Z2" s="41"/>
      <c r="AA2" s="41"/>
      <c r="AB2" s="45"/>
      <c r="AC2" s="209" t="s">
        <v>99</v>
      </c>
      <c r="AD2" s="209"/>
      <c r="AE2" s="209"/>
      <c r="AF2" s="209"/>
      <c r="AG2" s="41"/>
      <c r="AH2" s="41"/>
      <c r="AI2" s="41"/>
      <c r="AJ2" s="53"/>
      <c r="AK2" s="231" t="s">
        <v>182</v>
      </c>
      <c r="AL2" s="232"/>
      <c r="AM2" s="232"/>
      <c r="AN2" s="232"/>
      <c r="AO2" s="232"/>
      <c r="AP2" s="233"/>
      <c r="AQ2" s="228" t="s">
        <v>171</v>
      </c>
      <c r="AR2" s="54" t="s">
        <v>0</v>
      </c>
      <c r="AS2" s="55"/>
      <c r="AT2" s="55"/>
      <c r="AU2" s="55"/>
      <c r="AV2" s="55"/>
      <c r="AW2" s="55"/>
      <c r="AX2" s="56"/>
      <c r="AY2" s="211" t="s">
        <v>98</v>
      </c>
      <c r="AZ2" s="212"/>
      <c r="BA2" s="106"/>
      <c r="BB2" s="225" t="s">
        <v>112</v>
      </c>
      <c r="BC2" s="226"/>
      <c r="BD2" s="226"/>
      <c r="BE2" s="226"/>
      <c r="BF2" s="226"/>
      <c r="BG2" s="226"/>
      <c r="BH2" s="227"/>
      <c r="BI2" s="121"/>
      <c r="BJ2" s="161"/>
      <c r="BK2" s="120" t="s">
        <v>110</v>
      </c>
      <c r="BL2" s="171"/>
      <c r="BM2" s="172"/>
      <c r="BN2" s="172"/>
      <c r="BO2" s="172"/>
    </row>
    <row r="3" spans="1:68" ht="15" customHeight="1" thickTop="1" thickBot="1">
      <c r="G3" s="41"/>
      <c r="H3" s="202"/>
      <c r="I3" s="90">
        <f>SUBTOTAL(9,X6:X16)</f>
        <v>0</v>
      </c>
      <c r="J3" s="41"/>
      <c r="K3" s="103"/>
      <c r="L3" s="103"/>
      <c r="M3" s="60"/>
      <c r="N3" s="41"/>
      <c r="O3" s="42"/>
      <c r="P3" s="208"/>
      <c r="Q3" s="208"/>
      <c r="R3" s="41"/>
      <c r="S3" s="41"/>
      <c r="T3" s="43"/>
      <c r="U3" s="57"/>
      <c r="V3" s="58"/>
      <c r="W3" s="41"/>
      <c r="X3" s="57"/>
      <c r="Y3" s="57"/>
      <c r="Z3" s="41"/>
      <c r="AA3" s="41"/>
      <c r="AB3" s="45"/>
      <c r="AC3" s="209"/>
      <c r="AD3" s="209"/>
      <c r="AE3" s="209"/>
      <c r="AF3" s="209"/>
      <c r="AG3" s="41"/>
      <c r="AH3" s="41"/>
      <c r="AI3" s="41"/>
      <c r="AJ3" s="53"/>
      <c r="AK3" s="234"/>
      <c r="AL3" s="235"/>
      <c r="AM3" s="235"/>
      <c r="AN3" s="235"/>
      <c r="AO3" s="235"/>
      <c r="AP3" s="236"/>
      <c r="AQ3" s="229"/>
      <c r="AR3" s="213" t="s">
        <v>107</v>
      </c>
      <c r="AS3" s="215" t="s">
        <v>108</v>
      </c>
      <c r="AT3" s="216"/>
      <c r="AU3" s="217"/>
      <c r="AV3" s="215" t="s">
        <v>109</v>
      </c>
      <c r="AW3" s="216"/>
      <c r="AX3" s="217"/>
      <c r="AY3" s="221" t="s">
        <v>160</v>
      </c>
      <c r="AZ3" s="222"/>
      <c r="BA3" s="107"/>
      <c r="BB3" s="116"/>
      <c r="BC3" s="173"/>
      <c r="BD3" s="174"/>
      <c r="BE3" s="174"/>
      <c r="BF3" s="174"/>
      <c r="BG3" s="210">
        <f>SUM(BH:BH)</f>
        <v>0</v>
      </c>
      <c r="BH3" s="210"/>
      <c r="BI3" s="119"/>
      <c r="BJ3" s="162"/>
      <c r="BK3" s="118"/>
      <c r="BL3" s="175"/>
      <c r="BM3" s="176"/>
      <c r="BN3" s="176"/>
      <c r="BO3" s="176"/>
    </row>
    <row r="4" spans="1:68" ht="14.25" customHeight="1" thickTop="1">
      <c r="G4" s="59"/>
      <c r="H4" s="203"/>
      <c r="I4" s="59"/>
      <c r="J4" s="60"/>
      <c r="K4" s="65"/>
      <c r="L4" s="65"/>
      <c r="M4" s="50"/>
      <c r="N4" s="60"/>
      <c r="O4" s="61"/>
      <c r="P4" s="208"/>
      <c r="Q4" s="208"/>
      <c r="R4" s="41"/>
      <c r="S4" s="41"/>
      <c r="T4" s="62"/>
      <c r="U4" s="43"/>
      <c r="V4" s="43"/>
      <c r="W4" s="63"/>
      <c r="X4" s="43"/>
      <c r="Y4" s="43"/>
      <c r="Z4" s="63"/>
      <c r="AA4" s="41"/>
      <c r="AB4" s="64"/>
      <c r="AC4" s="209"/>
      <c r="AD4" s="209"/>
      <c r="AE4" s="209"/>
      <c r="AF4" s="209"/>
      <c r="AG4" s="41"/>
      <c r="AH4" s="41"/>
      <c r="AI4" s="41"/>
      <c r="AJ4" s="65"/>
      <c r="AK4" s="237"/>
      <c r="AL4" s="238"/>
      <c r="AM4" s="238"/>
      <c r="AN4" s="238"/>
      <c r="AO4" s="238"/>
      <c r="AP4" s="239"/>
      <c r="AQ4" s="230"/>
      <c r="AR4" s="214"/>
      <c r="AS4" s="218"/>
      <c r="AT4" s="219"/>
      <c r="AU4" s="220"/>
      <c r="AV4" s="218"/>
      <c r="AW4" s="219"/>
      <c r="AX4" s="220"/>
      <c r="AY4" s="223"/>
      <c r="AZ4" s="224"/>
      <c r="BA4" s="108"/>
      <c r="BB4" s="66"/>
      <c r="BC4" s="177"/>
      <c r="BD4" s="178">
        <f>COUNTIF(BD6:BD16,"○")</f>
        <v>11</v>
      </c>
      <c r="BE4" s="178">
        <f>COUNTIF(BE6:BE16,"○")</f>
        <v>0</v>
      </c>
      <c r="BF4" s="178">
        <f>COUNTIF(BF6:BF16,"○")</f>
        <v>9</v>
      </c>
      <c r="BG4" s="179">
        <f>COUNTIF(BG6:BG16,"○")</f>
        <v>9</v>
      </c>
      <c r="BH4" s="180"/>
      <c r="BI4" s="164"/>
      <c r="BJ4" s="165"/>
      <c r="BK4" s="163"/>
      <c r="BL4" s="175"/>
      <c r="BM4" s="181"/>
      <c r="BN4" s="181"/>
      <c r="BO4" s="181"/>
    </row>
    <row r="5" spans="1:68" ht="196.5" customHeight="1">
      <c r="A5" s="100" t="s">
        <v>54</v>
      </c>
      <c r="B5" s="100" t="s">
        <v>55</v>
      </c>
      <c r="C5" s="100" t="s">
        <v>56</v>
      </c>
      <c r="D5" s="100" t="s">
        <v>57</v>
      </c>
      <c r="E5" s="100" t="s">
        <v>58</v>
      </c>
      <c r="F5" s="100" t="s">
        <v>193</v>
      </c>
      <c r="G5" s="1" t="s">
        <v>1</v>
      </c>
      <c r="H5" s="204" t="s">
        <v>2</v>
      </c>
      <c r="I5" s="1" t="s">
        <v>3</v>
      </c>
      <c r="J5" s="2" t="s">
        <v>194</v>
      </c>
      <c r="K5" s="69" t="s">
        <v>100</v>
      </c>
      <c r="L5" s="69" t="s">
        <v>147</v>
      </c>
      <c r="M5" s="1" t="s">
        <v>101</v>
      </c>
      <c r="N5" s="2" t="s">
        <v>102</v>
      </c>
      <c r="O5" s="40" t="s">
        <v>103</v>
      </c>
      <c r="P5" s="152" t="s">
        <v>148</v>
      </c>
      <c r="Q5" s="153" t="s">
        <v>149</v>
      </c>
      <c r="R5" s="2" t="s">
        <v>150</v>
      </c>
      <c r="S5" s="2" t="s">
        <v>151</v>
      </c>
      <c r="T5" s="113" t="s">
        <v>152</v>
      </c>
      <c r="U5" s="3" t="s">
        <v>195</v>
      </c>
      <c r="V5" s="3" t="s">
        <v>196</v>
      </c>
      <c r="W5" s="1" t="s">
        <v>153</v>
      </c>
      <c r="X5" s="3" t="s">
        <v>197</v>
      </c>
      <c r="Y5" s="3" t="s">
        <v>154</v>
      </c>
      <c r="Z5" s="2" t="s">
        <v>158</v>
      </c>
      <c r="AA5" s="2" t="s">
        <v>155</v>
      </c>
      <c r="AB5" s="67" t="s">
        <v>156</v>
      </c>
      <c r="AC5" s="68" t="s">
        <v>157</v>
      </c>
      <c r="AD5" s="70" t="s">
        <v>159</v>
      </c>
      <c r="AE5" s="70" t="s">
        <v>164</v>
      </c>
      <c r="AF5" s="70" t="s">
        <v>198</v>
      </c>
      <c r="AG5" s="71" t="s">
        <v>104</v>
      </c>
      <c r="AH5" s="2" t="s">
        <v>106</v>
      </c>
      <c r="AI5" s="4" t="s">
        <v>105</v>
      </c>
      <c r="AJ5" s="2" t="s">
        <v>199</v>
      </c>
      <c r="AK5" s="5" t="s">
        <v>163</v>
      </c>
      <c r="AL5" s="5" t="s">
        <v>134</v>
      </c>
      <c r="AM5" s="193" t="s">
        <v>179</v>
      </c>
      <c r="AN5" s="194" t="s">
        <v>200</v>
      </c>
      <c r="AO5" s="194" t="s">
        <v>180</v>
      </c>
      <c r="AP5" s="194" t="s">
        <v>181</v>
      </c>
      <c r="AQ5" s="195" t="s">
        <v>172</v>
      </c>
      <c r="AR5" s="72" t="s">
        <v>173</v>
      </c>
      <c r="AS5" s="105" t="s">
        <v>174</v>
      </c>
      <c r="AT5" s="73" t="s">
        <v>175</v>
      </c>
      <c r="AU5" s="74" t="s">
        <v>201</v>
      </c>
      <c r="AV5" s="105" t="s">
        <v>176</v>
      </c>
      <c r="AW5" s="73" t="s">
        <v>177</v>
      </c>
      <c r="AX5" s="74" t="s">
        <v>178</v>
      </c>
      <c r="AY5" s="189" t="s">
        <v>161</v>
      </c>
      <c r="AZ5" s="190" t="s">
        <v>116</v>
      </c>
      <c r="BA5" s="109"/>
      <c r="BB5" s="117" t="s">
        <v>117</v>
      </c>
      <c r="BC5" s="182" t="s">
        <v>113</v>
      </c>
      <c r="BD5" s="183" t="s">
        <v>162</v>
      </c>
      <c r="BE5" s="183" t="s">
        <v>114</v>
      </c>
      <c r="BF5" s="183" t="s">
        <v>115</v>
      </c>
      <c r="BG5" s="183" t="s">
        <v>202</v>
      </c>
      <c r="BH5" s="184" t="s">
        <v>118</v>
      </c>
      <c r="BI5" s="159" t="s">
        <v>119</v>
      </c>
      <c r="BJ5" s="160" t="s">
        <v>120</v>
      </c>
      <c r="BK5" s="185" t="s">
        <v>146</v>
      </c>
      <c r="BL5" s="186" t="s">
        <v>111</v>
      </c>
      <c r="BM5" s="187" t="s">
        <v>125</v>
      </c>
      <c r="BN5" s="188" t="s">
        <v>126</v>
      </c>
      <c r="BO5" s="188" t="s">
        <v>127</v>
      </c>
    </row>
    <row r="6" spans="1:68" s="199" customFormat="1" ht="69.95" customHeight="1">
      <c r="A6" s="99">
        <f>ROW()-5</f>
        <v>1</v>
      </c>
      <c r="B6" s="99">
        <f>IF(AND(COUNTIF(H6,"*工事*"),COUNTIF(R6,"*入札*")),1,IF(AND(COUNTIF(H6,"*工事*"),COUNTIF(R6,"*随意契約*")),2,IF(AND(R6&lt;&gt;"*工事*",COUNTIF(R6,"*入札*")),3,IF(AND(H6&lt;&gt;"*工事*",COUNTIF(R6,"*随意契約*")),4,""))))</f>
        <v>3</v>
      </c>
      <c r="C6" s="99" t="str">
        <f>IF(B6&lt;&gt;1,"",COUNTIF($B$6:B6,1))</f>
        <v/>
      </c>
      <c r="D6" s="99" t="str">
        <f>IF(B6&lt;&gt;2,"",COUNTIF($B$6:B6,2))</f>
        <v/>
      </c>
      <c r="E6" s="99">
        <f>IF(B6&lt;&gt;3,"",COUNTIF($B$6:B6,3))</f>
        <v>1</v>
      </c>
      <c r="F6" s="99" t="str">
        <f>IF(B6&lt;&gt;4,"",COUNTIF($B$6:B6,4))</f>
        <v/>
      </c>
      <c r="G6" s="198" t="s">
        <v>227</v>
      </c>
      <c r="H6" s="36" t="s">
        <v>42</v>
      </c>
      <c r="I6" s="76" t="s">
        <v>225</v>
      </c>
      <c r="J6" s="76" t="s">
        <v>187</v>
      </c>
      <c r="K6" s="75"/>
      <c r="L6" s="157"/>
      <c r="M6" s="77">
        <v>44937</v>
      </c>
      <c r="N6" s="76" t="s">
        <v>215</v>
      </c>
      <c r="O6" s="78">
        <v>8170001010949</v>
      </c>
      <c r="P6" s="82" t="s">
        <v>77</v>
      </c>
      <c r="Q6" s="83"/>
      <c r="R6" s="76" t="s">
        <v>185</v>
      </c>
      <c r="S6" s="75"/>
      <c r="T6" s="205">
        <v>3725849</v>
      </c>
      <c r="U6" s="206" t="s">
        <v>207</v>
      </c>
      <c r="V6" s="85">
        <v>2929520</v>
      </c>
      <c r="W6" s="168">
        <f>IF(OR(T6="他官署で調達手続きを実施のため",AG6=契約状況コード表!G$5),"－",IF(V6&lt;&gt;"",ROUNDDOWN(V6/T6,3),(IFERROR(ROUNDDOWN(U6/T6,3),"－"))))</f>
        <v>0.78600000000000003</v>
      </c>
      <c r="X6" s="84"/>
      <c r="Y6" s="84"/>
      <c r="Z6" s="81" t="s">
        <v>184</v>
      </c>
      <c r="AA6" s="79" t="s">
        <v>186</v>
      </c>
      <c r="AB6" s="80">
        <v>1</v>
      </c>
      <c r="AC6" s="81">
        <v>0</v>
      </c>
      <c r="AD6" s="81" t="s">
        <v>184</v>
      </c>
      <c r="AE6" s="81" t="s">
        <v>205</v>
      </c>
      <c r="AF6" s="81" t="s">
        <v>184</v>
      </c>
      <c r="AG6" s="79"/>
      <c r="AH6" s="76"/>
      <c r="AI6" s="76"/>
      <c r="AJ6" s="76"/>
      <c r="AK6" s="36"/>
      <c r="AL6" s="36"/>
      <c r="AM6" s="196"/>
      <c r="AN6" s="196"/>
      <c r="AO6" s="196"/>
      <c r="AP6" s="196"/>
      <c r="AQ6" s="157"/>
      <c r="AR6" s="75" t="s">
        <v>184</v>
      </c>
      <c r="AS6" s="36"/>
      <c r="AT6" s="36"/>
      <c r="AU6" s="36"/>
      <c r="AV6" s="36" t="s">
        <v>97</v>
      </c>
      <c r="AW6" s="36"/>
      <c r="AX6" s="36"/>
      <c r="AY6" s="36" t="s">
        <v>183</v>
      </c>
      <c r="AZ6" s="36"/>
      <c r="BA6" s="102"/>
      <c r="BB6" s="110"/>
      <c r="BC6" s="111"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年間支払金額</v>
      </c>
      <c r="BD6" s="111"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111"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111" t="str">
        <f t="shared" ref="BF6:BF16" si="0">IF(AND(L6="×",BG6="○"),"×",BG6)</f>
        <v>×</v>
      </c>
      <c r="BG6" s="111" t="str">
        <f t="shared" ref="BG6:BG16" si="1">IF(BB6&lt;&gt;"",BB6,IF(COUNTIF(BC6,"*予定価格*"),BD6,BE6))</f>
        <v>×</v>
      </c>
      <c r="BH6" s="112" t="str">
        <f t="shared" ref="BH6:BH16" si="2">IF(BG6="○",X6,"")</f>
        <v/>
      </c>
      <c r="BI6" s="166" t="str">
        <f t="shared" ref="BI6:BI16" si="3">IF(H6="③情報システム",IF(COUNTIF(I6,"*借入*")+COUNTIF(I6,"*賃貸*")+COUNTIF(I6,"*リース*"),"⑨物品等賃借",IF(COUNTIF(I6,"*購入*")+COUNTIF(DM6,"*調達*"),"⑦物品等購入",IF(COUNTIF(I6,"*製造*"),"⑧物品等製造","⑩役務"))),H6)</f>
        <v>⑩役務</v>
      </c>
      <c r="BJ6" s="36" t="str">
        <f>IF(AG6=契約状況コード表!G$5,"",IF(AND(K6&lt;&gt;"",ISTEXT(U6)),"分担契約/単価契約",IF(ISTEXT(U6),"単価契約",IF(K6&lt;&gt;"","分担契約",""))))</f>
        <v>単価契約</v>
      </c>
      <c r="BK6" s="167"/>
      <c r="BL6" s="115" t="str">
        <f>IF(COUNTIF(T6,"**"),"",IF(AND(T6&gt;=契約状況コード表!P$5,OR(H6=契約状況コード表!M$5,H6=契約状況コード表!M$6)),1,IF(AND(T6&gt;=契約状況コード表!P$13,H6&lt;&gt;契約状況コード表!M$5,H6&lt;&gt;契約状況コード表!M$6),1,"")))</f>
        <v/>
      </c>
      <c r="BM6" s="151" t="str">
        <f t="shared" ref="BM6:BM16" si="4">IF(LEN(O6)=0,"○",IF(LEN(O6)=1,"○",IF(LEN(O6)=13,"○",IF(LEN(O6)=27,"○",IF(LEN(O6)=41,"○","×")))))</f>
        <v>○</v>
      </c>
      <c r="BN6" s="115" t="b">
        <f t="shared" ref="BN6:BN16" si="5">_xlfn.ISFORMULA(BI6)</f>
        <v>1</v>
      </c>
      <c r="BO6" s="115" t="b">
        <f t="shared" ref="BO6:BO16" si="6">_xlfn.ISFORMULA(BJ6)</f>
        <v>1</v>
      </c>
      <c r="BP6" s="98"/>
    </row>
    <row r="7" spans="1:68" s="199" customFormat="1" ht="84.95" customHeight="1">
      <c r="A7" s="99">
        <f>ROW()-5</f>
        <v>2</v>
      </c>
      <c r="B7" s="99">
        <f>IF(AND(COUNTIF(H7,"*工事*"),COUNTIF(R7,"*入札*")),1,IF(AND(COUNTIF(H7,"*工事*"),COUNTIF(R7,"*随意契約*")),2,IF(AND(R7&lt;&gt;"*工事*",COUNTIF(R7,"*入札*")),3,IF(AND(H7&lt;&gt;"*工事*",COUNTIF(R7,"*随意契約*")),4,""))))</f>
        <v>4</v>
      </c>
      <c r="C7" s="99" t="str">
        <f>IF(B7&lt;&gt;1,"",COUNTIF($B$6:B7,1))</f>
        <v/>
      </c>
      <c r="D7" s="99" t="str">
        <f>IF(B7&lt;&gt;2,"",COUNTIF($B$6:B7,2))</f>
        <v/>
      </c>
      <c r="E7" s="99" t="str">
        <f>IF(B7&lt;&gt;3,"",COUNTIF($B$6:B7,3))</f>
        <v/>
      </c>
      <c r="F7" s="99">
        <f>IF(B7&lt;&gt;4,"",COUNTIF($B$6:B7,4))</f>
        <v>1</v>
      </c>
      <c r="G7" s="198" t="s">
        <v>228</v>
      </c>
      <c r="H7" s="36" t="s">
        <v>42</v>
      </c>
      <c r="I7" s="79" t="s">
        <v>226</v>
      </c>
      <c r="J7" s="76" t="s">
        <v>187</v>
      </c>
      <c r="K7" s="75"/>
      <c r="L7" s="157"/>
      <c r="M7" s="77">
        <v>44937</v>
      </c>
      <c r="N7" s="76" t="s">
        <v>216</v>
      </c>
      <c r="O7" s="78">
        <v>1120101010174</v>
      </c>
      <c r="P7" s="82" t="s">
        <v>77</v>
      </c>
      <c r="Q7" s="83"/>
      <c r="R7" s="76" t="s">
        <v>188</v>
      </c>
      <c r="S7" s="75"/>
      <c r="T7" s="84">
        <v>1860458</v>
      </c>
      <c r="U7" s="150" t="s">
        <v>208</v>
      </c>
      <c r="V7" s="85">
        <v>1824900</v>
      </c>
      <c r="W7" s="168">
        <f>IF(OR(T7="他官署で調達手続きを実施のため",AG7=契約状況コード表!G$5),"－",IF(V7&lt;&gt;"",ROUNDDOWN(V7/T7,3),(IFERROR(ROUNDDOWN(U7/T7,3),"－"))))</f>
        <v>0.98</v>
      </c>
      <c r="X7" s="84"/>
      <c r="Y7" s="84"/>
      <c r="Z7" s="81" t="s">
        <v>184</v>
      </c>
      <c r="AA7" s="79" t="s">
        <v>186</v>
      </c>
      <c r="AB7" s="80">
        <v>0</v>
      </c>
      <c r="AC7" s="81">
        <v>0</v>
      </c>
      <c r="AD7" s="81" t="s">
        <v>184</v>
      </c>
      <c r="AE7" s="81" t="s">
        <v>205</v>
      </c>
      <c r="AF7" s="81" t="s">
        <v>184</v>
      </c>
      <c r="AG7" s="79"/>
      <c r="AH7" s="76" t="s">
        <v>191</v>
      </c>
      <c r="AI7" s="76" t="s">
        <v>203</v>
      </c>
      <c r="AJ7" s="76"/>
      <c r="AK7" s="36"/>
      <c r="AL7" s="36"/>
      <c r="AM7" s="196"/>
      <c r="AN7" s="196"/>
      <c r="AO7" s="196"/>
      <c r="AP7" s="196"/>
      <c r="AQ7" s="157"/>
      <c r="AR7" s="75"/>
      <c r="AS7" s="36"/>
      <c r="AT7" s="36"/>
      <c r="AU7" s="36"/>
      <c r="AV7" s="36"/>
      <c r="AW7" s="36"/>
      <c r="AX7" s="36"/>
      <c r="AY7" s="36"/>
      <c r="AZ7" s="36"/>
      <c r="BA7" s="102"/>
      <c r="BB7" s="110"/>
      <c r="BC7" s="111"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年間支払金額</v>
      </c>
      <c r="BD7" s="111"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111"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111" t="str">
        <f t="shared" si="0"/>
        <v>×</v>
      </c>
      <c r="BG7" s="111" t="str">
        <f t="shared" si="1"/>
        <v>×</v>
      </c>
      <c r="BH7" s="112" t="str">
        <f t="shared" si="2"/>
        <v/>
      </c>
      <c r="BI7" s="166" t="str">
        <f t="shared" si="3"/>
        <v>⑩役務</v>
      </c>
      <c r="BJ7" s="36" t="str">
        <f>IF(AG7=契約状況コード表!G$5,"",IF(AND(K7&lt;&gt;"",ISTEXT(U7)),"分担契約/単価契約",IF(ISTEXT(U7),"単価契約",IF(K7&lt;&gt;"","分担契約",""))))</f>
        <v>単価契約</v>
      </c>
      <c r="BK7" s="167"/>
      <c r="BL7" s="115" t="str">
        <f>IF(COUNTIF(T7,"**"),"",IF(AND(T7&gt;=契約状況コード表!P$5,OR(H7=契約状況コード表!M$5,H7=契約状況コード表!M$6)),1,IF(AND(T7&gt;=契約状況コード表!P$13,H7&lt;&gt;契約状況コード表!M$5,H7&lt;&gt;契約状況コード表!M$6),1,"")))</f>
        <v/>
      </c>
      <c r="BM7" s="151" t="str">
        <f t="shared" si="4"/>
        <v>○</v>
      </c>
      <c r="BN7" s="115" t="b">
        <f t="shared" si="5"/>
        <v>1</v>
      </c>
      <c r="BO7" s="115" t="b">
        <f t="shared" si="6"/>
        <v>1</v>
      </c>
      <c r="BP7" s="98"/>
    </row>
    <row r="8" spans="1:68" s="199" customFormat="1" ht="84.95" customHeight="1">
      <c r="A8" s="99"/>
      <c r="B8" s="99"/>
      <c r="C8" s="99"/>
      <c r="D8" s="99"/>
      <c r="E8" s="99"/>
      <c r="F8" s="99"/>
      <c r="G8" s="198" t="s">
        <v>229</v>
      </c>
      <c r="H8" s="36" t="s">
        <v>13</v>
      </c>
      <c r="I8" s="76" t="s">
        <v>221</v>
      </c>
      <c r="J8" s="76" t="s">
        <v>190</v>
      </c>
      <c r="K8" s="75"/>
      <c r="L8" s="157"/>
      <c r="M8" s="77">
        <v>44938</v>
      </c>
      <c r="N8" s="76" t="s">
        <v>213</v>
      </c>
      <c r="O8" s="78">
        <v>8120901027980</v>
      </c>
      <c r="P8" s="82" t="s">
        <v>77</v>
      </c>
      <c r="Q8" s="83"/>
      <c r="R8" s="76" t="s">
        <v>185</v>
      </c>
      <c r="S8" s="75"/>
      <c r="T8" s="205">
        <v>29239100</v>
      </c>
      <c r="U8" s="206">
        <v>28968500</v>
      </c>
      <c r="V8" s="85"/>
      <c r="W8" s="168">
        <f>IF(OR(T8="他官署で調達手続きを実施のため",AG8=契約状況コード表!G$5),"－",IF(V8&lt;&gt;"",ROUNDDOWN(V8/T8,3),(IFERROR(ROUNDDOWN(U8/T8,3),"－"))))</f>
        <v>0.99</v>
      </c>
      <c r="X8" s="84"/>
      <c r="Y8" s="84"/>
      <c r="Z8" s="81" t="s">
        <v>184</v>
      </c>
      <c r="AA8" s="79" t="s">
        <v>15</v>
      </c>
      <c r="AB8" s="80">
        <v>4</v>
      </c>
      <c r="AC8" s="81">
        <v>4</v>
      </c>
      <c r="AD8" s="81" t="s">
        <v>183</v>
      </c>
      <c r="AE8" s="81"/>
      <c r="AF8" s="81" t="s">
        <v>183</v>
      </c>
      <c r="AG8" s="79"/>
      <c r="AH8" s="76"/>
      <c r="AI8" s="197"/>
      <c r="AJ8" s="76"/>
      <c r="AK8" s="36"/>
      <c r="AL8" s="36"/>
      <c r="AM8" s="196"/>
      <c r="AN8" s="196"/>
      <c r="AO8" s="196"/>
      <c r="AP8" s="196"/>
      <c r="AQ8" s="157"/>
      <c r="AR8" s="75"/>
      <c r="AS8" s="36"/>
      <c r="AT8" s="36"/>
      <c r="AU8" s="36"/>
      <c r="AV8" s="36"/>
      <c r="AW8" s="36"/>
      <c r="AX8" s="36"/>
      <c r="AY8" s="36"/>
      <c r="AZ8" s="36"/>
      <c r="BA8" s="102"/>
      <c r="BB8" s="110"/>
      <c r="BC8" s="111" t="str">
        <f>IF(AND(OR(K8=契約状況コード表!D$5,K8=契約状況コード表!D$6),OR(AG8=契約状況コード表!G$5,AG8=契約状況コード表!G$6)),"年間支払金額(全官署)",IF(OR(AG8=契約状況コード表!G$5,AG8=契約状況コード表!G$6),"年間支払金額",IF(AND(OR(COUNTIF(AI8,"*すべて*"),COUNTIF(AI8,"*全て*")),S8="●",OR(K8=契約状況コード表!D$5,K8=契約状況コード表!D$6)),"年間支払金額(全官署、契約相手方ごと)",IF(AND(OR(COUNTIF(AI8,"*すべて*"),COUNTIF(AI8,"*全て*")),S8="●"),"年間支払金額(契約相手方ごと)",IF(AND(OR(K8=契約状況コード表!D$5,K8=契約状況コード表!D$6),AG8=契約状況コード表!G$7),"契約総額(全官署)",IF(AND(K8=契約状況コード表!D$7,AG8=契約状況コード表!G$7),"契約総額(自官署のみ)",IF(K8=契約状況コード表!D$7,"年間支払金額(自官署のみ)",IF(AG8=契約状況コード表!G$7,"契約総額",IF(AND(COUNTIF(BJ8,"&lt;&gt;*単価*"),OR(K8=契約状況コード表!D$5,K8=契約状況コード表!D$6)),"全官署予定価格",IF(AND(COUNTIF(BJ8,"*単価*"),OR(K8=契約状況コード表!D$5,K8=契約状況コード表!D$6)),"全官署支払金額",IF(AND(COUNTIF(BJ8,"&lt;&gt;*単価*"),COUNTIF(BJ8,"*変更契約*")),"変更後予定価格",IF(COUNTIF(BJ8,"*単価*"),"年間支払金額","予定価格"))))))))))))</f>
        <v>予定価格</v>
      </c>
      <c r="BD8" s="111" t="str">
        <f>IF(AND(BI8=契約状況コード表!M$5,T8&gt;契約状況コード表!N$5),"○",IF(AND(BI8=契約状況コード表!M$6,T8&gt;=契約状況コード表!N$6),"○",IF(AND(BI8=契約状況コード表!M$7,T8&gt;=契約状況コード表!N$7),"○",IF(AND(BI8=契約状況コード表!M$8,T8&gt;=契約状況コード表!N$8),"○",IF(AND(BI8=契約状況コード表!M$9,T8&gt;=契約状況コード表!N$9),"○",IF(AND(BI8=契約状況コード表!M$10,T8&gt;=契約状況コード表!N$10),"○",IF(AND(BI8=契約状況コード表!M$11,T8&gt;=契約状況コード表!N$11),"○",IF(AND(BI8=契約状況コード表!M$12,T8&gt;=契約状況コード表!N$12),"○",IF(AND(BI8=契約状況コード表!M$13,T8&gt;=契約状況コード表!N$13),"○",IF(T8="他官署で調達手続き入札を実施のため","○","×"))))))))))</f>
        <v>○</v>
      </c>
      <c r="BE8" s="111" t="str">
        <f>IF(AND(BI8=契約状況コード表!M$5,Y8&gt;契約状況コード表!N$5),"○",IF(AND(BI8=契約状況コード表!M$6,Y8&gt;=契約状況コード表!N$6),"○",IF(AND(BI8=契約状況コード表!M$7,Y8&gt;=契約状況コード表!N$7),"○",IF(AND(BI8=契約状況コード表!M$8,Y8&gt;=契約状況コード表!N$8),"○",IF(AND(BI8=契約状況コード表!M$9,Y8&gt;=契約状況コード表!N$9),"○",IF(AND(BI8=契約状況コード表!M$10,Y8&gt;=契約状況コード表!N$10),"○",IF(AND(BI8=契約状況コード表!M$11,Y8&gt;=契約状況コード表!N$11),"○",IF(AND(BI8=契約状況コード表!M$12,Y8&gt;=契約状況コード表!N$12),"○",IF(AND(BI8=契約状況コード表!M$13,Y8&gt;=契約状況コード表!N$13),"○","×")))))))))</f>
        <v>×</v>
      </c>
      <c r="BF8" s="111" t="str">
        <f t="shared" si="0"/>
        <v>○</v>
      </c>
      <c r="BG8" s="111" t="str">
        <f t="shared" si="1"/>
        <v>○</v>
      </c>
      <c r="BH8" s="112">
        <f t="shared" si="2"/>
        <v>0</v>
      </c>
      <c r="BI8" s="166" t="str">
        <f t="shared" si="3"/>
        <v>①工事</v>
      </c>
      <c r="BJ8" s="36" t="str">
        <f>IF(AG8=契約状況コード表!G$5,"",IF(AND(K8&lt;&gt;"",ISTEXT(U8)),"分担契約/単価契約",IF(ISTEXT(U8),"単価契約",IF(K8&lt;&gt;"","分担契約",""))))</f>
        <v/>
      </c>
      <c r="BK8" s="167"/>
      <c r="BL8" s="115" t="str">
        <f>IF(COUNTIF(T8,"**"),"",IF(AND(T8&gt;=契約状況コード表!P$5,OR(H8=契約状況コード表!M$5,H8=契約状況コード表!M$6)),1,IF(AND(T8&gt;=契約状況コード表!P$13,H8&lt;&gt;契約状況コード表!M$5,H8&lt;&gt;契約状況コード表!M$6),1,"")))</f>
        <v/>
      </c>
      <c r="BM8" s="151" t="str">
        <f t="shared" si="4"/>
        <v>○</v>
      </c>
      <c r="BN8" s="115" t="b">
        <f t="shared" si="5"/>
        <v>1</v>
      </c>
      <c r="BO8" s="115" t="b">
        <f t="shared" si="6"/>
        <v>1</v>
      </c>
      <c r="BP8" s="98"/>
    </row>
    <row r="9" spans="1:68" ht="84.95" customHeight="1">
      <c r="A9" s="99">
        <f t="shared" ref="A9:A16" si="7">ROW()-5</f>
        <v>4</v>
      </c>
      <c r="B9" s="99">
        <f t="shared" ref="B9:B16" si="8">IF(AND(COUNTIF(H9,"*工事*"),COUNTIF(R9,"*入札*")),1,IF(AND(COUNTIF(H9,"*工事*"),COUNTIF(R9,"*随意契約*")),2,IF(AND(R9&lt;&gt;"*工事*",COUNTIF(R9,"*入札*")),3,IF(AND(H9&lt;&gt;"*工事*",COUNTIF(R9,"*随意契約*")),4,""))))</f>
        <v>3</v>
      </c>
      <c r="C9" s="99" t="str">
        <f>IF(B9&lt;&gt;1,"",COUNTIF($B$6:B9,1))</f>
        <v/>
      </c>
      <c r="D9" s="99" t="str">
        <f>IF(B9&lt;&gt;2,"",COUNTIF($B$6:B9,2))</f>
        <v/>
      </c>
      <c r="E9" s="99">
        <f>IF(B9&lt;&gt;3,"",COUNTIF($B$6:B9,3))</f>
        <v>2</v>
      </c>
      <c r="F9" s="99" t="str">
        <f>IF(B9&lt;&gt;4,"",COUNTIF($B$6:B9,4))</f>
        <v/>
      </c>
      <c r="G9" s="198" t="s">
        <v>230</v>
      </c>
      <c r="H9" s="36" t="s">
        <v>42</v>
      </c>
      <c r="I9" s="76" t="s">
        <v>209</v>
      </c>
      <c r="J9" s="76" t="s">
        <v>187</v>
      </c>
      <c r="K9" s="75"/>
      <c r="L9" s="157"/>
      <c r="M9" s="77">
        <v>44942</v>
      </c>
      <c r="N9" s="76" t="s">
        <v>217</v>
      </c>
      <c r="O9" s="78">
        <v>5120001045309</v>
      </c>
      <c r="P9" s="82" t="s">
        <v>77</v>
      </c>
      <c r="Q9" s="83"/>
      <c r="R9" s="76" t="s">
        <v>185</v>
      </c>
      <c r="S9" s="75"/>
      <c r="T9" s="205">
        <v>3266120</v>
      </c>
      <c r="U9" s="206">
        <v>990000</v>
      </c>
      <c r="V9" s="85"/>
      <c r="W9" s="168">
        <f>IF(OR(T9="他官署で調達手続きを実施のため",AG9=契約状況コード表!G$5),"－",IF(V9&lt;&gt;"",ROUNDDOWN(V9/T9,3),(IFERROR(ROUNDDOWN(U9/T9,3),"－"))))</f>
        <v>0.30299999999999999</v>
      </c>
      <c r="X9" s="84"/>
      <c r="Y9" s="84"/>
      <c r="Z9" s="81" t="s">
        <v>184</v>
      </c>
      <c r="AA9" s="79" t="s">
        <v>186</v>
      </c>
      <c r="AB9" s="80">
        <v>2</v>
      </c>
      <c r="AC9" s="81">
        <v>2</v>
      </c>
      <c r="AD9" s="81" t="s">
        <v>183</v>
      </c>
      <c r="AE9" s="81"/>
      <c r="AF9" s="81" t="s">
        <v>183</v>
      </c>
      <c r="AG9" s="79"/>
      <c r="AH9" s="76"/>
      <c r="AI9" s="76"/>
      <c r="AJ9" s="76"/>
      <c r="AK9" s="36"/>
      <c r="AL9" s="36"/>
      <c r="AM9" s="196"/>
      <c r="AN9" s="196"/>
      <c r="AO9" s="196"/>
      <c r="AP9" s="196"/>
      <c r="AQ9" s="157"/>
      <c r="AR9" s="75"/>
      <c r="AS9" s="36"/>
      <c r="AT9" s="36"/>
      <c r="AU9" s="36"/>
      <c r="AV9" s="36"/>
      <c r="AW9" s="36"/>
      <c r="AX9" s="36"/>
      <c r="AY9" s="36"/>
      <c r="AZ9" s="36"/>
      <c r="BA9" s="102"/>
      <c r="BB9" s="110"/>
      <c r="BC9" s="111" t="str">
        <f>IF(AND(OR(K9=契約状況コード表!D$5,K9=契約状況コード表!D$6),OR(AG9=契約状況コード表!G$5,AG9=契約状況コード表!G$6)),"年間支払金額(全官署)",IF(OR(AG9=契約状況コード表!G$5,AG9=契約状況コード表!G$6),"年間支払金額",IF(AND(OR(COUNTIF(AI9,"*すべて*"),COUNTIF(AI9,"*全て*")),S9="●",OR(K9=契約状況コード表!D$5,K9=契約状況コード表!D$6)),"年間支払金額(全官署、契約相手方ごと)",IF(AND(OR(COUNTIF(AI9,"*すべて*"),COUNTIF(AI9,"*全て*")),S9="●"),"年間支払金額(契約相手方ごと)",IF(AND(OR(K9=契約状況コード表!D$5,K9=契約状況コード表!D$6),AG9=契約状況コード表!G$7),"契約総額(全官署)",IF(AND(K9=契約状況コード表!D$7,AG9=契約状況コード表!G$7),"契約総額(自官署のみ)",IF(K9=契約状況コード表!D$7,"年間支払金額(自官署のみ)",IF(AG9=契約状況コード表!G$7,"契約総額",IF(AND(COUNTIF(BJ9,"&lt;&gt;*単価*"),OR(K9=契約状況コード表!D$5,K9=契約状況コード表!D$6)),"全官署予定価格",IF(AND(COUNTIF(BJ9,"*単価*"),OR(K9=契約状況コード表!D$5,K9=契約状況コード表!D$6)),"全官署支払金額",IF(AND(COUNTIF(BJ9,"&lt;&gt;*単価*"),COUNTIF(BJ9,"*変更契約*")),"変更後予定価格",IF(COUNTIF(BJ9,"*単価*"),"年間支払金額","予定価格"))))))))))))</f>
        <v>予定価格</v>
      </c>
      <c r="BD9" s="111" t="str">
        <f>IF(AND(BI9=契約状況コード表!M$5,T9&gt;契約状況コード表!N$5),"○",IF(AND(BI9=契約状況コード表!M$6,T9&gt;=契約状況コード表!N$6),"○",IF(AND(BI9=契約状況コード表!M$7,T9&gt;=契約状況コード表!N$7),"○",IF(AND(BI9=契約状況コード表!M$8,T9&gt;=契約状況コード表!N$8),"○",IF(AND(BI9=契約状況コード表!M$9,T9&gt;=契約状況コード表!N$9),"○",IF(AND(BI9=契約状況コード表!M$10,T9&gt;=契約状況コード表!N$10),"○",IF(AND(BI9=契約状況コード表!M$11,T9&gt;=契約状況コード表!N$11),"○",IF(AND(BI9=契約状況コード表!M$12,T9&gt;=契約状況コード表!N$12),"○",IF(AND(BI9=契約状況コード表!M$13,T9&gt;=契約状況コード表!N$13),"○",IF(T9="他官署で調達手続き入札を実施のため","○","×"))))))))))</f>
        <v>○</v>
      </c>
      <c r="BE9" s="111" t="str">
        <f>IF(AND(BI9=契約状況コード表!M$5,Y9&gt;契約状況コード表!N$5),"○",IF(AND(BI9=契約状況コード表!M$6,Y9&gt;=契約状況コード表!N$6),"○",IF(AND(BI9=契約状況コード表!M$7,Y9&gt;=契約状況コード表!N$7),"○",IF(AND(BI9=契約状況コード表!M$8,Y9&gt;=契約状況コード表!N$8),"○",IF(AND(BI9=契約状況コード表!M$9,Y9&gt;=契約状況コード表!N$9),"○",IF(AND(BI9=契約状況コード表!M$10,Y9&gt;=契約状況コード表!N$10),"○",IF(AND(BI9=契約状況コード表!M$11,Y9&gt;=契約状況コード表!N$11),"○",IF(AND(BI9=契約状況コード表!M$12,Y9&gt;=契約状況コード表!N$12),"○",IF(AND(BI9=契約状況コード表!M$13,Y9&gt;=契約状況コード表!N$13),"○","×")))))))))</f>
        <v>×</v>
      </c>
      <c r="BF9" s="111" t="str">
        <f t="shared" si="0"/>
        <v>○</v>
      </c>
      <c r="BG9" s="111" t="str">
        <f t="shared" si="1"/>
        <v>○</v>
      </c>
      <c r="BH9" s="112">
        <f t="shared" si="2"/>
        <v>0</v>
      </c>
      <c r="BI9" s="166" t="str">
        <f t="shared" si="3"/>
        <v>⑩役務</v>
      </c>
      <c r="BJ9" s="36" t="str">
        <f>IF(AG9=契約状況コード表!G$5,"",IF(AND(K9&lt;&gt;"",ISTEXT(U9)),"分担契約/単価契約",IF(ISTEXT(U9),"単価契約",IF(K9&lt;&gt;"","分担契約",""))))</f>
        <v/>
      </c>
      <c r="BK9" s="167"/>
      <c r="BL9" s="115" t="str">
        <f>IF(COUNTIF(T9,"**"),"",IF(AND(T9&gt;=契約状況コード表!P$5,OR(H9=契約状況コード表!M$5,H9=契約状況コード表!M$6)),1,IF(AND(T9&gt;=契約状況コード表!P$13,H9&lt;&gt;契約状況コード表!M$5,H9&lt;&gt;契約状況コード表!M$6),1,"")))</f>
        <v/>
      </c>
      <c r="BM9" s="151" t="str">
        <f t="shared" si="4"/>
        <v>○</v>
      </c>
      <c r="BN9" s="115" t="b">
        <f t="shared" si="5"/>
        <v>1</v>
      </c>
      <c r="BO9" s="115" t="b">
        <f t="shared" si="6"/>
        <v>1</v>
      </c>
    </row>
    <row r="10" spans="1:68" ht="84.95" customHeight="1">
      <c r="A10" s="99">
        <f t="shared" si="7"/>
        <v>5</v>
      </c>
      <c r="B10" s="99">
        <f t="shared" si="8"/>
        <v>3</v>
      </c>
      <c r="C10" s="99" t="str">
        <f>IF(B10&lt;&gt;1,"",COUNTIF($B$6:B10,1))</f>
        <v/>
      </c>
      <c r="D10" s="99" t="str">
        <f>IF(B10&lt;&gt;2,"",COUNTIF($B$6:B10,2))</f>
        <v/>
      </c>
      <c r="E10" s="99">
        <f>IF(B10&lt;&gt;3,"",COUNTIF($B$6:B10,3))</f>
        <v>3</v>
      </c>
      <c r="F10" s="99" t="str">
        <f>IF(B10&lt;&gt;4,"",COUNTIF($B$6:B10,4))</f>
        <v/>
      </c>
      <c r="G10" s="198" t="s">
        <v>231</v>
      </c>
      <c r="H10" s="36" t="s">
        <v>42</v>
      </c>
      <c r="I10" s="76" t="s">
        <v>210</v>
      </c>
      <c r="J10" s="76" t="s">
        <v>187</v>
      </c>
      <c r="K10" s="75"/>
      <c r="L10" s="157"/>
      <c r="M10" s="77">
        <v>44942</v>
      </c>
      <c r="N10" s="76" t="s">
        <v>217</v>
      </c>
      <c r="O10" s="78">
        <v>5120001045309</v>
      </c>
      <c r="P10" s="82" t="s">
        <v>77</v>
      </c>
      <c r="Q10" s="83"/>
      <c r="R10" s="76" t="s">
        <v>185</v>
      </c>
      <c r="S10" s="75"/>
      <c r="T10" s="205">
        <v>1431430</v>
      </c>
      <c r="U10" s="206">
        <v>990000</v>
      </c>
      <c r="V10" s="85"/>
      <c r="W10" s="168">
        <f>IF(OR(T10="他官署で調達手続きを実施のため",AG10=契約状況コード表!G$5),"－",IF(V10&lt;&gt;"",ROUNDDOWN(V10/T10,3),(IFERROR(ROUNDDOWN(U10/T10,3),"－"))))</f>
        <v>0.69099999999999995</v>
      </c>
      <c r="X10" s="84"/>
      <c r="Y10" s="84"/>
      <c r="Z10" s="81" t="s">
        <v>184</v>
      </c>
      <c r="AA10" s="79" t="s">
        <v>186</v>
      </c>
      <c r="AB10" s="80">
        <v>1</v>
      </c>
      <c r="AC10" s="81">
        <v>1</v>
      </c>
      <c r="AD10" s="81" t="s">
        <v>183</v>
      </c>
      <c r="AE10" s="81"/>
      <c r="AF10" s="81" t="s">
        <v>183</v>
      </c>
      <c r="AG10" s="79"/>
      <c r="AH10" s="76"/>
      <c r="AI10" s="76"/>
      <c r="AJ10" s="76"/>
      <c r="AK10" s="36"/>
      <c r="AL10" s="36"/>
      <c r="AM10" s="196"/>
      <c r="AN10" s="196"/>
      <c r="AO10" s="196"/>
      <c r="AP10" s="196"/>
      <c r="AQ10" s="157"/>
      <c r="AR10" s="75" t="s">
        <v>184</v>
      </c>
      <c r="AS10" s="36"/>
      <c r="AT10" s="36"/>
      <c r="AU10" s="36"/>
      <c r="AV10" s="36" t="s">
        <v>90</v>
      </c>
      <c r="AW10" s="36"/>
      <c r="AX10" s="36"/>
      <c r="AY10" s="36" t="s">
        <v>183</v>
      </c>
      <c r="AZ10" s="36"/>
      <c r="BA10" s="102"/>
      <c r="BB10" s="110"/>
      <c r="BC10" s="111" t="str">
        <f>IF(AND(OR(K10=契約状況コード表!D$5,K10=契約状況コード表!D$6),OR(AG10=契約状況コード表!G$5,AG10=契約状況コード表!G$6)),"年間支払金額(全官署)",IF(OR(AG10=契約状況コード表!G$5,AG10=契約状況コード表!G$6),"年間支払金額",IF(AND(OR(COUNTIF(AI10,"*すべて*"),COUNTIF(AI10,"*全て*")),S10="●",OR(K10=契約状況コード表!D$5,K10=契約状況コード表!D$6)),"年間支払金額(全官署、契約相手方ごと)",IF(AND(OR(COUNTIF(AI10,"*すべて*"),COUNTIF(AI10,"*全て*")),S10="●"),"年間支払金額(契約相手方ごと)",IF(AND(OR(K10=契約状況コード表!D$5,K10=契約状況コード表!D$6),AG10=契約状況コード表!G$7),"契約総額(全官署)",IF(AND(K10=契約状況コード表!D$7,AG10=契約状況コード表!G$7),"契約総額(自官署のみ)",IF(K10=契約状況コード表!D$7,"年間支払金額(自官署のみ)",IF(AG10=契約状況コード表!G$7,"契約総額",IF(AND(COUNTIF(BJ10,"&lt;&gt;*単価*"),OR(K10=契約状況コード表!D$5,K10=契約状況コード表!D$6)),"全官署予定価格",IF(AND(COUNTIF(BJ10,"*単価*"),OR(K10=契約状況コード表!D$5,K10=契約状況コード表!D$6)),"全官署支払金額",IF(AND(COUNTIF(BJ10,"&lt;&gt;*単価*"),COUNTIF(BJ10,"*変更契約*")),"変更後予定価格",IF(COUNTIF(BJ10,"*単価*"),"年間支払金額","予定価格"))))))))))))</f>
        <v>予定価格</v>
      </c>
      <c r="BD10" s="111" t="str">
        <f>IF(AND(BI10=契約状況コード表!M$5,T10&gt;契約状況コード表!N$5),"○",IF(AND(BI10=契約状況コード表!M$6,T10&gt;=契約状況コード表!N$6),"○",IF(AND(BI10=契約状況コード表!M$7,T10&gt;=契約状況コード表!N$7),"○",IF(AND(BI10=契約状況コード表!M$8,T10&gt;=契約状況コード表!N$8),"○",IF(AND(BI10=契約状況コード表!M$9,T10&gt;=契約状況コード表!N$9),"○",IF(AND(BI10=契約状況コード表!M$10,T10&gt;=契約状況コード表!N$10),"○",IF(AND(BI10=契約状況コード表!M$11,T10&gt;=契約状況コード表!N$11),"○",IF(AND(BI10=契約状況コード表!M$12,T10&gt;=契約状況コード表!N$12),"○",IF(AND(BI10=契約状況コード表!M$13,T10&gt;=契約状況コード表!N$13),"○",IF(T10="他官署で調達手続き入札を実施のため","○","×"))))))))))</f>
        <v>○</v>
      </c>
      <c r="BE10" s="111" t="str">
        <f>IF(AND(BI10=契約状況コード表!M$5,Y10&gt;契約状況コード表!N$5),"○",IF(AND(BI10=契約状況コード表!M$6,Y10&gt;=契約状況コード表!N$6),"○",IF(AND(BI10=契約状況コード表!M$7,Y10&gt;=契約状況コード表!N$7),"○",IF(AND(BI10=契約状況コード表!M$8,Y10&gt;=契約状況コード表!N$8),"○",IF(AND(BI10=契約状況コード表!M$9,Y10&gt;=契約状況コード表!N$9),"○",IF(AND(BI10=契約状況コード表!M$10,Y10&gt;=契約状況コード表!N$10),"○",IF(AND(BI10=契約状況コード表!M$11,Y10&gt;=契約状況コード表!N$11),"○",IF(AND(BI10=契約状況コード表!M$12,Y10&gt;=契約状況コード表!N$12),"○",IF(AND(BI10=契約状況コード表!M$13,Y10&gt;=契約状況コード表!N$13),"○","×")))))))))</f>
        <v>×</v>
      </c>
      <c r="BF10" s="111" t="str">
        <f t="shared" si="0"/>
        <v>○</v>
      </c>
      <c r="BG10" s="111" t="str">
        <f t="shared" si="1"/>
        <v>○</v>
      </c>
      <c r="BH10" s="112">
        <f t="shared" si="2"/>
        <v>0</v>
      </c>
      <c r="BI10" s="166" t="str">
        <f t="shared" si="3"/>
        <v>⑩役務</v>
      </c>
      <c r="BJ10" s="36" t="str">
        <f>IF(AG10=契約状況コード表!G$5,"",IF(AND(K10&lt;&gt;"",ISTEXT(U10)),"分担契約/単価契約",IF(ISTEXT(U10),"単価契約",IF(K10&lt;&gt;"","分担契約",""))))</f>
        <v/>
      </c>
      <c r="BK10" s="167"/>
      <c r="BL10" s="115" t="str">
        <f>IF(COUNTIF(T10,"**"),"",IF(AND(T10&gt;=契約状況コード表!P$5,OR(H10=契約状況コード表!M$5,H10=契約状況コード表!M$6)),1,IF(AND(T10&gt;=契約状況コード表!P$13,H10&lt;&gt;契約状況コード表!M$5,H10&lt;&gt;契約状況コード表!M$6),1,"")))</f>
        <v/>
      </c>
      <c r="BM10" s="151" t="str">
        <f t="shared" si="4"/>
        <v>○</v>
      </c>
      <c r="BN10" s="115" t="b">
        <f t="shared" si="5"/>
        <v>1</v>
      </c>
      <c r="BO10" s="115" t="b">
        <f t="shared" si="6"/>
        <v>1</v>
      </c>
    </row>
    <row r="11" spans="1:68" ht="84.95" customHeight="1">
      <c r="A11" s="99">
        <f t="shared" si="7"/>
        <v>6</v>
      </c>
      <c r="B11" s="99">
        <f t="shared" si="8"/>
        <v>3</v>
      </c>
      <c r="C11" s="99" t="str">
        <f>IF(B11&lt;&gt;1,"",COUNTIF($B$6:B11,1))</f>
        <v/>
      </c>
      <c r="D11" s="99" t="str">
        <f>IF(B11&lt;&gt;2,"",COUNTIF($B$6:B11,2))</f>
        <v/>
      </c>
      <c r="E11" s="99">
        <f>IF(B11&lt;&gt;3,"",COUNTIF($B$6:B11,3))</f>
        <v>4</v>
      </c>
      <c r="F11" s="99" t="str">
        <f>IF(B11&lt;&gt;4,"",COUNTIF($B$6:B11,4))</f>
        <v/>
      </c>
      <c r="G11" s="198" t="s">
        <v>232</v>
      </c>
      <c r="H11" s="36" t="s">
        <v>36</v>
      </c>
      <c r="I11" s="76" t="s">
        <v>219</v>
      </c>
      <c r="J11" s="76" t="s">
        <v>189</v>
      </c>
      <c r="K11" s="75"/>
      <c r="L11" s="157"/>
      <c r="M11" s="77">
        <v>44942</v>
      </c>
      <c r="N11" s="76" t="s">
        <v>211</v>
      </c>
      <c r="O11" s="78">
        <v>3120001001214</v>
      </c>
      <c r="P11" s="82" t="s">
        <v>77</v>
      </c>
      <c r="Q11" s="83"/>
      <c r="R11" s="76" t="s">
        <v>185</v>
      </c>
      <c r="S11" s="75"/>
      <c r="T11" s="205">
        <v>11990418</v>
      </c>
      <c r="U11" s="206">
        <v>10352430</v>
      </c>
      <c r="V11" s="85"/>
      <c r="W11" s="168">
        <f>IF(OR(T11="他官署で調達手続きを実施のため",AG11=契約状況コード表!G$5),"－",IF(V11&lt;&gt;"",ROUNDDOWN(V11/T11,3),(IFERROR(ROUNDDOWN(U11/T11,3),"－"))))</f>
        <v>0.86299999999999999</v>
      </c>
      <c r="X11" s="84"/>
      <c r="Y11" s="84"/>
      <c r="Z11" s="81" t="s">
        <v>184</v>
      </c>
      <c r="AA11" s="79" t="s">
        <v>186</v>
      </c>
      <c r="AB11" s="80">
        <v>4</v>
      </c>
      <c r="AC11" s="81">
        <v>4</v>
      </c>
      <c r="AD11" s="81" t="s">
        <v>183</v>
      </c>
      <c r="AE11" s="81"/>
      <c r="AF11" s="81" t="s">
        <v>183</v>
      </c>
      <c r="AG11" s="79"/>
      <c r="AH11" s="76"/>
      <c r="AI11" s="76"/>
      <c r="AJ11" s="76"/>
      <c r="AK11" s="36"/>
      <c r="AL11" s="36"/>
      <c r="AM11" s="196"/>
      <c r="AN11" s="196"/>
      <c r="AO11" s="196"/>
      <c r="AP11" s="196"/>
      <c r="AQ11" s="157"/>
      <c r="AR11" s="75"/>
      <c r="AS11" s="36"/>
      <c r="AT11" s="36"/>
      <c r="AU11" s="36"/>
      <c r="AV11" s="36"/>
      <c r="AW11" s="36"/>
      <c r="AX11" s="36"/>
      <c r="AY11" s="36"/>
      <c r="AZ11" s="36"/>
      <c r="BA11" s="102"/>
      <c r="BB11" s="110"/>
      <c r="BC11" s="111" t="str">
        <f>IF(AND(OR(K11=契約状況コード表!D$5,K11=契約状況コード表!D$6),OR(AG11=契約状況コード表!G$5,AG11=契約状況コード表!G$6)),"年間支払金額(全官署)",IF(OR(AG11=契約状況コード表!G$5,AG11=契約状況コード表!G$6),"年間支払金額",IF(AND(OR(COUNTIF(AI11,"*すべて*"),COUNTIF(AI11,"*全て*")),S11="●",OR(K11=契約状況コード表!D$5,K11=契約状況コード表!D$6)),"年間支払金額(全官署、契約相手方ごと)",IF(AND(OR(COUNTIF(AI11,"*すべて*"),COUNTIF(AI11,"*全て*")),S11="●"),"年間支払金額(契約相手方ごと)",IF(AND(OR(K11=契約状況コード表!D$5,K11=契約状況コード表!D$6),AG11=契約状況コード表!G$7),"契約総額(全官署)",IF(AND(K11=契約状況コード表!D$7,AG11=契約状況コード表!G$7),"契約総額(自官署のみ)",IF(K11=契約状況コード表!D$7,"年間支払金額(自官署のみ)",IF(AG11=契約状況コード表!G$7,"契約総額",IF(AND(COUNTIF(BJ11,"&lt;&gt;*単価*"),OR(K11=契約状況コード表!D$5,K11=契約状況コード表!D$6)),"全官署予定価格",IF(AND(COUNTIF(BJ11,"*単価*"),OR(K11=契約状況コード表!D$5,K11=契約状況コード表!D$6)),"全官署支払金額",IF(AND(COUNTIF(BJ11,"&lt;&gt;*単価*"),COUNTIF(BJ11,"*変更契約*")),"変更後予定価格",IF(COUNTIF(BJ11,"*単価*"),"年間支払金額","予定価格"))))))))))))</f>
        <v>予定価格</v>
      </c>
      <c r="BD11" s="111" t="str">
        <f>IF(AND(BI11=契約状況コード表!M$5,T11&gt;契約状況コード表!N$5),"○",IF(AND(BI11=契約状況コード表!M$6,T11&gt;=契約状況コード表!N$6),"○",IF(AND(BI11=契約状況コード表!M$7,T11&gt;=契約状況コード表!N$7),"○",IF(AND(BI11=契約状況コード表!M$8,T11&gt;=契約状況コード表!N$8),"○",IF(AND(BI11=契約状況コード表!M$9,T11&gt;=契約状況コード表!N$9),"○",IF(AND(BI11=契約状況コード表!M$10,T11&gt;=契約状況コード表!N$10),"○",IF(AND(BI11=契約状況コード表!M$11,T11&gt;=契約状況コード表!N$11),"○",IF(AND(BI11=契約状況コード表!M$12,T11&gt;=契約状況コード表!N$12),"○",IF(AND(BI11=契約状況コード表!M$13,T11&gt;=契約状況コード表!N$13),"○",IF(T11="他官署で調達手続き入札を実施のため","○","×"))))))))))</f>
        <v>○</v>
      </c>
      <c r="BE11" s="111" t="str">
        <f>IF(AND(BI11=契約状況コード表!M$5,Y11&gt;契約状況コード表!N$5),"○",IF(AND(BI11=契約状況コード表!M$6,Y11&gt;=契約状況コード表!N$6),"○",IF(AND(BI11=契約状況コード表!M$7,Y11&gt;=契約状況コード表!N$7),"○",IF(AND(BI11=契約状況コード表!M$8,Y11&gt;=契約状況コード表!N$8),"○",IF(AND(BI11=契約状況コード表!M$9,Y11&gt;=契約状況コード表!N$9),"○",IF(AND(BI11=契約状況コード表!M$10,Y11&gt;=契約状況コード表!N$10),"○",IF(AND(BI11=契約状況コード表!M$11,Y11&gt;=契約状況コード表!N$11),"○",IF(AND(BI11=契約状況コード表!M$12,Y11&gt;=契約状況コード表!N$12),"○",IF(AND(BI11=契約状況コード表!M$13,Y11&gt;=契約状況コード表!N$13),"○","×")))))))))</f>
        <v>×</v>
      </c>
      <c r="BF11" s="111" t="str">
        <f t="shared" si="0"/>
        <v>○</v>
      </c>
      <c r="BG11" s="111" t="str">
        <f t="shared" si="1"/>
        <v>○</v>
      </c>
      <c r="BH11" s="112">
        <f t="shared" si="2"/>
        <v>0</v>
      </c>
      <c r="BI11" s="166" t="str">
        <f t="shared" si="3"/>
        <v>⑦物品等購入</v>
      </c>
      <c r="BJ11" s="36" t="str">
        <f>IF(AG11=契約状況コード表!G$5,"",IF(AND(K11&lt;&gt;"",ISTEXT(U11)),"分担契約/単価契約",IF(ISTEXT(U11),"単価契約",IF(K11&lt;&gt;"","分担契約",""))))</f>
        <v/>
      </c>
      <c r="BK11" s="167"/>
      <c r="BL11" s="115" t="str">
        <f>IF(COUNTIF(T11,"**"),"",IF(AND(T11&gt;=契約状況コード表!P$5,OR(H11=契約状況コード表!M$5,H11=契約状況コード表!M$6)),1,IF(AND(T11&gt;=契約状況コード表!P$13,H11&lt;&gt;契約状況コード表!M$5,H11&lt;&gt;契約状況コード表!M$6),1,"")))</f>
        <v/>
      </c>
      <c r="BM11" s="151" t="str">
        <f t="shared" si="4"/>
        <v>○</v>
      </c>
      <c r="BN11" s="115" t="b">
        <f t="shared" si="5"/>
        <v>1</v>
      </c>
      <c r="BO11" s="115" t="b">
        <f t="shared" si="6"/>
        <v>1</v>
      </c>
    </row>
    <row r="12" spans="1:68" ht="84.95" customHeight="1">
      <c r="A12" s="99">
        <f t="shared" si="7"/>
        <v>7</v>
      </c>
      <c r="B12" s="99">
        <f t="shared" si="8"/>
        <v>1</v>
      </c>
      <c r="C12" s="99">
        <f>IF(B12&lt;&gt;1,"",COUNTIF($B$6:B12,1))</f>
        <v>1</v>
      </c>
      <c r="D12" s="99" t="str">
        <f>IF(B12&lt;&gt;2,"",COUNTIF($B$6:B12,2))</f>
        <v/>
      </c>
      <c r="E12" s="99" t="str">
        <f>IF(B12&lt;&gt;3,"",COUNTIF($B$6:B12,3))</f>
        <v/>
      </c>
      <c r="F12" s="99" t="str">
        <f>IF(B12&lt;&gt;4,"",COUNTIF($B$6:B12,4))</f>
        <v/>
      </c>
      <c r="G12" s="198" t="s">
        <v>233</v>
      </c>
      <c r="H12" s="36" t="s">
        <v>18</v>
      </c>
      <c r="I12" s="76" t="s">
        <v>222</v>
      </c>
      <c r="J12" s="76" t="s">
        <v>190</v>
      </c>
      <c r="K12" s="75"/>
      <c r="L12" s="157"/>
      <c r="M12" s="77">
        <v>44946</v>
      </c>
      <c r="N12" s="76" t="s">
        <v>214</v>
      </c>
      <c r="O12" s="207">
        <v>7120001166425</v>
      </c>
      <c r="P12" s="82" t="s">
        <v>77</v>
      </c>
      <c r="Q12" s="83"/>
      <c r="R12" s="76" t="s">
        <v>185</v>
      </c>
      <c r="S12" s="75"/>
      <c r="T12" s="205">
        <v>2125200</v>
      </c>
      <c r="U12" s="206">
        <v>990000</v>
      </c>
      <c r="V12" s="85"/>
      <c r="W12" s="168">
        <f>IF(OR(T12="他官署で調達手続きを実施のため",AG12=契約状況コード表!G$5),"－",IF(V12&lt;&gt;"",ROUNDDOWN(V12/T12,3),(IFERROR(ROUNDDOWN(U12/T12,3),"－"))))</f>
        <v>0.46500000000000002</v>
      </c>
      <c r="X12" s="84"/>
      <c r="Y12" s="84"/>
      <c r="Z12" s="81" t="s">
        <v>184</v>
      </c>
      <c r="AA12" s="79" t="s">
        <v>186</v>
      </c>
      <c r="AB12" s="80">
        <v>2</v>
      </c>
      <c r="AC12" s="81">
        <v>2</v>
      </c>
      <c r="AD12" s="81" t="s">
        <v>183</v>
      </c>
      <c r="AE12" s="81"/>
      <c r="AF12" s="81" t="s">
        <v>183</v>
      </c>
      <c r="AG12" s="79"/>
      <c r="AH12" s="76"/>
      <c r="AI12" s="76"/>
      <c r="AJ12" s="76"/>
      <c r="AK12" s="36"/>
      <c r="AL12" s="36"/>
      <c r="AM12" s="196"/>
      <c r="AN12" s="196"/>
      <c r="AO12" s="196"/>
      <c r="AP12" s="196"/>
      <c r="AQ12" s="157"/>
      <c r="AR12" s="75"/>
      <c r="AS12" s="36"/>
      <c r="AT12" s="36"/>
      <c r="AU12" s="36"/>
      <c r="AV12" s="36"/>
      <c r="AW12" s="36"/>
      <c r="AX12" s="36"/>
      <c r="AY12" s="36"/>
      <c r="AZ12" s="36"/>
      <c r="BA12" s="102"/>
      <c r="BB12" s="110"/>
      <c r="BC12" s="111" t="str">
        <f>IF(AND(OR(K12=契約状況コード表!D$5,K12=契約状況コード表!D$6),OR(AG12=契約状況コード表!G$5,AG12=契約状況コード表!G$6)),"年間支払金額(全官署)",IF(OR(AG12=契約状況コード表!G$5,AG12=契約状況コード表!G$6),"年間支払金額",IF(AND(OR(COUNTIF(AI12,"*すべて*"),COUNTIF(AI12,"*全て*")),S12="●",OR(K12=契約状況コード表!D$5,K12=契約状況コード表!D$6)),"年間支払金額(全官署、契約相手方ごと)",IF(AND(OR(COUNTIF(AI12,"*すべて*"),COUNTIF(AI12,"*全て*")),S12="●"),"年間支払金額(契約相手方ごと)",IF(AND(OR(K12=契約状況コード表!D$5,K12=契約状況コード表!D$6),AG12=契約状況コード表!G$7),"契約総額(全官署)",IF(AND(K12=契約状況コード表!D$7,AG12=契約状況コード表!G$7),"契約総額(自官署のみ)",IF(K12=契約状況コード表!D$7,"年間支払金額(自官署のみ)",IF(AG12=契約状況コード表!G$7,"契約総額",IF(AND(COUNTIF(BJ12,"&lt;&gt;*単価*"),OR(K12=契約状況コード表!D$5,K12=契約状況コード表!D$6)),"全官署予定価格",IF(AND(COUNTIF(BJ12,"*単価*"),OR(K12=契約状況コード表!D$5,K12=契約状況コード表!D$6)),"全官署支払金額",IF(AND(COUNTIF(BJ12,"&lt;&gt;*単価*"),COUNTIF(BJ12,"*変更契約*")),"変更後予定価格",IF(COUNTIF(BJ12,"*単価*"),"年間支払金額","予定価格"))))))))))))</f>
        <v>予定価格</v>
      </c>
      <c r="BD12" s="111" t="str">
        <f>IF(AND(BI12=契約状況コード表!M$5,T12&gt;契約状況コード表!N$5),"○",IF(AND(BI12=契約状況コード表!M$6,T12&gt;=契約状況コード表!N$6),"○",IF(AND(BI12=契約状況コード表!M$7,T12&gt;=契約状況コード表!N$7),"○",IF(AND(BI12=契約状況コード表!M$8,T12&gt;=契約状況コード表!N$8),"○",IF(AND(BI12=契約状況コード表!M$9,T12&gt;=契約状況コード表!N$9),"○",IF(AND(BI12=契約状況コード表!M$10,T12&gt;=契約状況コード表!N$10),"○",IF(AND(BI12=契約状況コード表!M$11,T12&gt;=契約状況コード表!N$11),"○",IF(AND(BI12=契約状況コード表!M$12,T12&gt;=契約状況コード表!N$12),"○",IF(AND(BI12=契約状況コード表!M$13,T12&gt;=契約状況コード表!N$13),"○",IF(T12="他官署で調達手続き入札を実施のため","○","×"))))))))))</f>
        <v>○</v>
      </c>
      <c r="BE12" s="111" t="str">
        <f>IF(AND(BI12=契約状況コード表!M$5,Y12&gt;契約状況コード表!N$5),"○",IF(AND(BI12=契約状況コード表!M$6,Y12&gt;=契約状況コード表!N$6),"○",IF(AND(BI12=契約状況コード表!M$7,Y12&gt;=契約状況コード表!N$7),"○",IF(AND(BI12=契約状況コード表!M$8,Y12&gt;=契約状況コード表!N$8),"○",IF(AND(BI12=契約状況コード表!M$9,Y12&gt;=契約状況コード表!N$9),"○",IF(AND(BI12=契約状況コード表!M$10,Y12&gt;=契約状況コード表!N$10),"○",IF(AND(BI12=契約状況コード表!M$11,Y12&gt;=契約状況コード表!N$11),"○",IF(AND(BI12=契約状況コード表!M$12,Y12&gt;=契約状況コード表!N$12),"○",IF(AND(BI12=契約状況コード表!M$13,Y12&gt;=契約状況コード表!N$13),"○","×")))))))))</f>
        <v>×</v>
      </c>
      <c r="BF12" s="111" t="str">
        <f t="shared" si="0"/>
        <v>○</v>
      </c>
      <c r="BG12" s="111" t="str">
        <f t="shared" si="1"/>
        <v>○</v>
      </c>
      <c r="BH12" s="112">
        <f t="shared" si="2"/>
        <v>0</v>
      </c>
      <c r="BI12" s="166" t="str">
        <f t="shared" si="3"/>
        <v>②工事（調査及び設計業務等）</v>
      </c>
      <c r="BJ12" s="36" t="str">
        <f>IF(AG12=契約状況コード表!G$5,"",IF(AND(K12&lt;&gt;"",ISTEXT(U12)),"分担契約/単価契約",IF(ISTEXT(U12),"単価契約",IF(K12&lt;&gt;"","分担契約",""))))</f>
        <v/>
      </c>
      <c r="BK12" s="167"/>
      <c r="BL12" s="115" t="str">
        <f>IF(COUNTIF(T12,"**"),"",IF(AND(T12&gt;=契約状況コード表!P$5,OR(H12=契約状況コード表!M$5,H12=契約状況コード表!M$6)),1,IF(AND(T12&gt;=契約状況コード表!P$13,H12&lt;&gt;契約状況コード表!M$5,H12&lt;&gt;契約状況コード表!M$6),1,"")))</f>
        <v/>
      </c>
      <c r="BM12" s="151" t="str">
        <f t="shared" si="4"/>
        <v>○</v>
      </c>
      <c r="BN12" s="115" t="b">
        <f t="shared" si="5"/>
        <v>1</v>
      </c>
      <c r="BO12" s="115" t="b">
        <f t="shared" si="6"/>
        <v>1</v>
      </c>
    </row>
    <row r="13" spans="1:68" ht="84.95" customHeight="1">
      <c r="A13" s="99">
        <f t="shared" si="7"/>
        <v>8</v>
      </c>
      <c r="B13" s="99">
        <f t="shared" si="8"/>
        <v>1</v>
      </c>
      <c r="C13" s="99">
        <f>IF(B13&lt;&gt;1,"",COUNTIF($B$6:B13,1))</f>
        <v>2</v>
      </c>
      <c r="D13" s="99" t="str">
        <f>IF(B13&lt;&gt;2,"",COUNTIF($B$6:B13,2))</f>
        <v/>
      </c>
      <c r="E13" s="99" t="str">
        <f>IF(B13&lt;&gt;3,"",COUNTIF($B$6:B13,3))</f>
        <v/>
      </c>
      <c r="F13" s="99" t="str">
        <f>IF(B13&lt;&gt;4,"",COUNTIF($B$6:B13,4))</f>
        <v/>
      </c>
      <c r="G13" s="198" t="s">
        <v>234</v>
      </c>
      <c r="H13" s="36" t="s">
        <v>18</v>
      </c>
      <c r="I13" s="76" t="s">
        <v>223</v>
      </c>
      <c r="J13" s="76" t="s">
        <v>190</v>
      </c>
      <c r="K13" s="75"/>
      <c r="L13" s="157"/>
      <c r="M13" s="77">
        <v>44946</v>
      </c>
      <c r="N13" s="76" t="s">
        <v>214</v>
      </c>
      <c r="O13" s="78">
        <v>7120001166425</v>
      </c>
      <c r="P13" s="82" t="s">
        <v>77</v>
      </c>
      <c r="Q13" s="83"/>
      <c r="R13" s="76" t="s">
        <v>185</v>
      </c>
      <c r="S13" s="75"/>
      <c r="T13" s="84">
        <v>4071100</v>
      </c>
      <c r="U13" s="150">
        <v>2156000</v>
      </c>
      <c r="V13" s="85"/>
      <c r="W13" s="168">
        <f>IF(OR(T13="他官署で調達手続きを実施のため",AG13=契約状況コード表!G$5),"－",IF(V13&lt;&gt;"",ROUNDDOWN(V13/T13,3),(IFERROR(ROUNDDOWN(U13/T13,3),"－"))))</f>
        <v>0.52900000000000003</v>
      </c>
      <c r="X13" s="84"/>
      <c r="Y13" s="84"/>
      <c r="Z13" s="81" t="s">
        <v>184</v>
      </c>
      <c r="AA13" s="79" t="s">
        <v>186</v>
      </c>
      <c r="AB13" s="80">
        <v>3</v>
      </c>
      <c r="AC13" s="81">
        <v>3</v>
      </c>
      <c r="AD13" s="81" t="s">
        <v>183</v>
      </c>
      <c r="AE13" s="81"/>
      <c r="AF13" s="81" t="s">
        <v>183</v>
      </c>
      <c r="AG13" s="79"/>
      <c r="AH13" s="76"/>
      <c r="AI13" s="197"/>
      <c r="AJ13" s="76"/>
      <c r="AK13" s="36"/>
      <c r="AL13" s="36"/>
      <c r="AM13" s="196"/>
      <c r="AN13" s="196"/>
      <c r="AO13" s="196"/>
      <c r="AP13" s="196"/>
      <c r="AQ13" s="157"/>
      <c r="AR13" s="75"/>
      <c r="AS13" s="36"/>
      <c r="AT13" s="36"/>
      <c r="AU13" s="36"/>
      <c r="AV13" s="36"/>
      <c r="AW13" s="36"/>
      <c r="AX13" s="36"/>
      <c r="AY13" s="36"/>
      <c r="AZ13" s="36"/>
      <c r="BA13" s="102"/>
      <c r="BB13" s="110"/>
      <c r="BC13" s="111" t="str">
        <f>IF(AND(OR(K13=契約状況コード表!D$5,K13=契約状況コード表!D$6),OR(AG13=契約状況コード表!G$5,AG13=契約状況コード表!G$6)),"年間支払金額(全官署)",IF(OR(AG13=契約状況コード表!G$5,AG13=契約状況コード表!G$6),"年間支払金額",IF(AND(OR(COUNTIF(AI13,"*すべて*"),COUNTIF(AI13,"*全て*")),S13="●",OR(K13=契約状況コード表!D$5,K13=契約状況コード表!D$6)),"年間支払金額(全官署、契約相手方ごと)",IF(AND(OR(COUNTIF(AI13,"*すべて*"),COUNTIF(AI13,"*全て*")),S13="●"),"年間支払金額(契約相手方ごと)",IF(AND(OR(K13=契約状況コード表!D$5,K13=契約状況コード表!D$6),AG13=契約状況コード表!G$7),"契約総額(全官署)",IF(AND(K13=契約状況コード表!D$7,AG13=契約状況コード表!G$7),"契約総額(自官署のみ)",IF(K13=契約状況コード表!D$7,"年間支払金額(自官署のみ)",IF(AG13=契約状況コード表!G$7,"契約総額",IF(AND(COUNTIF(BJ13,"&lt;&gt;*単価*"),OR(K13=契約状況コード表!D$5,K13=契約状況コード表!D$6)),"全官署予定価格",IF(AND(COUNTIF(BJ13,"*単価*"),OR(K13=契約状況コード表!D$5,K13=契約状況コード表!D$6)),"全官署支払金額",IF(AND(COUNTIF(BJ13,"&lt;&gt;*単価*"),COUNTIF(BJ13,"*変更契約*")),"変更後予定価格",IF(COUNTIF(BJ13,"*単価*"),"年間支払金額","予定価格"))))))))))))</f>
        <v>予定価格</v>
      </c>
      <c r="BD13" s="111" t="str">
        <f>IF(AND(BI13=契約状況コード表!M$5,T13&gt;契約状況コード表!N$5),"○",IF(AND(BI13=契約状況コード表!M$6,T13&gt;=契約状況コード表!N$6),"○",IF(AND(BI13=契約状況コード表!M$7,T13&gt;=契約状況コード表!N$7),"○",IF(AND(BI13=契約状況コード表!M$8,T13&gt;=契約状況コード表!N$8),"○",IF(AND(BI13=契約状況コード表!M$9,T13&gt;=契約状況コード表!N$9),"○",IF(AND(BI13=契約状況コード表!M$10,T13&gt;=契約状況コード表!N$10),"○",IF(AND(BI13=契約状況コード表!M$11,T13&gt;=契約状況コード表!N$11),"○",IF(AND(BI13=契約状況コード表!M$12,T13&gt;=契約状況コード表!N$12),"○",IF(AND(BI13=契約状況コード表!M$13,T13&gt;=契約状況コード表!N$13),"○",IF(T13="他官署で調達手続き入札を実施のため","○","×"))))))))))</f>
        <v>○</v>
      </c>
      <c r="BE13" s="111" t="str">
        <f>IF(AND(BI13=契約状況コード表!M$5,Y13&gt;契約状況コード表!N$5),"○",IF(AND(BI13=契約状況コード表!M$6,Y13&gt;=契約状況コード表!N$6),"○",IF(AND(BI13=契約状況コード表!M$7,Y13&gt;=契約状況コード表!N$7),"○",IF(AND(BI13=契約状況コード表!M$8,Y13&gt;=契約状況コード表!N$8),"○",IF(AND(BI13=契約状況コード表!M$9,Y13&gt;=契約状況コード表!N$9),"○",IF(AND(BI13=契約状況コード表!M$10,Y13&gt;=契約状況コード表!N$10),"○",IF(AND(BI13=契約状況コード表!M$11,Y13&gt;=契約状況コード表!N$11),"○",IF(AND(BI13=契約状況コード表!M$12,Y13&gt;=契約状況コード表!N$12),"○",IF(AND(BI13=契約状況コード表!M$13,Y13&gt;=契約状況コード表!N$13),"○","×")))))))))</f>
        <v>×</v>
      </c>
      <c r="BF13" s="111" t="str">
        <f t="shared" si="0"/>
        <v>○</v>
      </c>
      <c r="BG13" s="111" t="str">
        <f t="shared" si="1"/>
        <v>○</v>
      </c>
      <c r="BH13" s="112">
        <f t="shared" si="2"/>
        <v>0</v>
      </c>
      <c r="BI13" s="166" t="str">
        <f t="shared" si="3"/>
        <v>②工事（調査及び設計業務等）</v>
      </c>
      <c r="BJ13" s="36" t="str">
        <f>IF(AG13=契約状況コード表!G$5,"",IF(AND(K13&lt;&gt;"",ISTEXT(U13)),"分担契約/単価契約",IF(ISTEXT(U13),"単価契約",IF(K13&lt;&gt;"","分担契約",""))))</f>
        <v/>
      </c>
      <c r="BK13" s="167"/>
      <c r="BL13" s="115" t="str">
        <f>IF(COUNTIF(T13,"**"),"",IF(AND(T13&gt;=契約状況コード表!P$5,OR(H13=契約状況コード表!M$5,H13=契約状況コード表!M$6)),1,IF(AND(T13&gt;=契約状況コード表!P$13,H13&lt;&gt;契約状況コード表!M$5,H13&lt;&gt;契約状況コード表!M$6),1,"")))</f>
        <v/>
      </c>
      <c r="BM13" s="151" t="str">
        <f t="shared" si="4"/>
        <v>○</v>
      </c>
      <c r="BN13" s="115" t="b">
        <f t="shared" si="5"/>
        <v>1</v>
      </c>
      <c r="BO13" s="115" t="b">
        <f t="shared" si="6"/>
        <v>1</v>
      </c>
    </row>
    <row r="14" spans="1:68" ht="96.75" customHeight="1">
      <c r="A14" s="99">
        <f t="shared" si="7"/>
        <v>9</v>
      </c>
      <c r="B14" s="99">
        <f t="shared" si="8"/>
        <v>1</v>
      </c>
      <c r="C14" s="99">
        <f>IF(B14&lt;&gt;1,"",COUNTIF($B$6:B14,1))</f>
        <v>3</v>
      </c>
      <c r="D14" s="99" t="str">
        <f>IF(B14&lt;&gt;2,"",COUNTIF($B$6:B14,2))</f>
        <v/>
      </c>
      <c r="E14" s="99" t="str">
        <f>IF(B14&lt;&gt;3,"",COUNTIF($B$6:B14,3))</f>
        <v/>
      </c>
      <c r="F14" s="99" t="str">
        <f>IF(B14&lt;&gt;4,"",COUNTIF($B$6:B14,4))</f>
        <v/>
      </c>
      <c r="G14" s="198" t="s">
        <v>235</v>
      </c>
      <c r="H14" s="36" t="s">
        <v>18</v>
      </c>
      <c r="I14" s="76" t="s">
        <v>224</v>
      </c>
      <c r="J14" s="76" t="s">
        <v>190</v>
      </c>
      <c r="K14" s="75"/>
      <c r="L14" s="157"/>
      <c r="M14" s="77">
        <v>44946</v>
      </c>
      <c r="N14" s="76" t="s">
        <v>214</v>
      </c>
      <c r="O14" s="78">
        <v>7120001166425</v>
      </c>
      <c r="P14" s="82" t="s">
        <v>77</v>
      </c>
      <c r="Q14" s="83"/>
      <c r="R14" s="76" t="s">
        <v>185</v>
      </c>
      <c r="S14" s="75"/>
      <c r="T14" s="84">
        <v>4240500</v>
      </c>
      <c r="U14" s="150">
        <v>2464000</v>
      </c>
      <c r="V14" s="85"/>
      <c r="W14" s="168">
        <f>IF(OR(T14="他官署で調達手続きを実施のため",AG14=契約状況コード表!G$5),"－",IF(V14&lt;&gt;"",ROUNDDOWN(V14/T14,3),(IFERROR(ROUNDDOWN(U14/T14,3),"－"))))</f>
        <v>0.58099999999999996</v>
      </c>
      <c r="X14" s="84"/>
      <c r="Y14" s="84"/>
      <c r="Z14" s="81" t="s">
        <v>184</v>
      </c>
      <c r="AA14" s="79" t="s">
        <v>186</v>
      </c>
      <c r="AB14" s="80">
        <v>3</v>
      </c>
      <c r="AC14" s="81">
        <v>3</v>
      </c>
      <c r="AD14" s="81" t="s">
        <v>183</v>
      </c>
      <c r="AE14" s="81"/>
      <c r="AF14" s="81" t="s">
        <v>183</v>
      </c>
      <c r="AG14" s="79"/>
      <c r="AH14" s="76"/>
      <c r="AI14" s="76"/>
      <c r="AJ14" s="76"/>
      <c r="AK14" s="36"/>
      <c r="AL14" s="36"/>
      <c r="AM14" s="196"/>
      <c r="AN14" s="196"/>
      <c r="AO14" s="196"/>
      <c r="AP14" s="196"/>
      <c r="AQ14" s="157"/>
      <c r="AR14" s="75"/>
      <c r="AS14" s="36"/>
      <c r="AT14" s="36"/>
      <c r="AU14" s="36"/>
      <c r="AV14" s="36"/>
      <c r="AW14" s="36"/>
      <c r="AX14" s="36"/>
      <c r="AY14" s="36"/>
      <c r="AZ14" s="36"/>
      <c r="BA14" s="102"/>
      <c r="BB14" s="110"/>
      <c r="BC14" s="111" t="str">
        <f>IF(AND(OR(K14=契約状況コード表!D$5,K14=契約状況コード表!D$6),OR(AG14=契約状況コード表!G$5,AG14=契約状況コード表!G$6)),"年間支払金額(全官署)",IF(OR(AG14=契約状況コード表!G$5,AG14=契約状況コード表!G$6),"年間支払金額",IF(AND(OR(COUNTIF(AI14,"*すべて*"),COUNTIF(AI14,"*全て*")),S14="●",OR(K14=契約状況コード表!D$5,K14=契約状況コード表!D$6)),"年間支払金額(全官署、契約相手方ごと)",IF(AND(OR(COUNTIF(AI14,"*すべて*"),COUNTIF(AI14,"*全て*")),S14="●"),"年間支払金額(契約相手方ごと)",IF(AND(OR(K14=契約状況コード表!D$5,K14=契約状況コード表!D$6),AG14=契約状況コード表!G$7),"契約総額(全官署)",IF(AND(K14=契約状況コード表!D$7,AG14=契約状況コード表!G$7),"契約総額(自官署のみ)",IF(K14=契約状況コード表!D$7,"年間支払金額(自官署のみ)",IF(AG14=契約状況コード表!G$7,"契約総額",IF(AND(COUNTIF(BJ14,"&lt;&gt;*単価*"),OR(K14=契約状況コード表!D$5,K14=契約状況コード表!D$6)),"全官署予定価格",IF(AND(COUNTIF(BJ14,"*単価*"),OR(K14=契約状況コード表!D$5,K14=契約状況コード表!D$6)),"全官署支払金額",IF(AND(COUNTIF(BJ14,"&lt;&gt;*単価*"),COUNTIF(BJ14,"*変更契約*")),"変更後予定価格",IF(COUNTIF(BJ14,"*単価*"),"年間支払金額","予定価格"))))))))))))</f>
        <v>予定価格</v>
      </c>
      <c r="BD14" s="111" t="str">
        <f>IF(AND(BI14=契約状況コード表!M$5,T14&gt;契約状況コード表!N$5),"○",IF(AND(BI14=契約状況コード表!M$6,T14&gt;=契約状況コード表!N$6),"○",IF(AND(BI14=契約状況コード表!M$7,T14&gt;=契約状況コード表!N$7),"○",IF(AND(BI14=契約状況コード表!M$8,T14&gt;=契約状況コード表!N$8),"○",IF(AND(BI14=契約状況コード表!M$9,T14&gt;=契約状況コード表!N$9),"○",IF(AND(BI14=契約状況コード表!M$10,T14&gt;=契約状況コード表!N$10),"○",IF(AND(BI14=契約状況コード表!M$11,T14&gt;=契約状況コード表!N$11),"○",IF(AND(BI14=契約状況コード表!M$12,T14&gt;=契約状況コード表!N$12),"○",IF(AND(BI14=契約状況コード表!M$13,T14&gt;=契約状況コード表!N$13),"○",IF(T14="他官署で調達手続き入札を実施のため","○","×"))))))))))</f>
        <v>○</v>
      </c>
      <c r="BE14" s="111" t="str">
        <f>IF(AND(BI14=契約状況コード表!M$5,Y14&gt;契約状況コード表!N$5),"○",IF(AND(BI14=契約状況コード表!M$6,Y14&gt;=契約状況コード表!N$6),"○",IF(AND(BI14=契約状況コード表!M$7,Y14&gt;=契約状況コード表!N$7),"○",IF(AND(BI14=契約状況コード表!M$8,Y14&gt;=契約状況コード表!N$8),"○",IF(AND(BI14=契約状況コード表!M$9,Y14&gt;=契約状況コード表!N$9),"○",IF(AND(BI14=契約状況コード表!M$10,Y14&gt;=契約状況コード表!N$10),"○",IF(AND(BI14=契約状況コード表!M$11,Y14&gt;=契約状況コード表!N$11),"○",IF(AND(BI14=契約状況コード表!M$12,Y14&gt;=契約状況コード表!N$12),"○",IF(AND(BI14=契約状況コード表!M$13,Y14&gt;=契約状況コード表!N$13),"○","×")))))))))</f>
        <v>×</v>
      </c>
      <c r="BF14" s="111" t="str">
        <f t="shared" si="0"/>
        <v>○</v>
      </c>
      <c r="BG14" s="111" t="str">
        <f t="shared" si="1"/>
        <v>○</v>
      </c>
      <c r="BH14" s="112">
        <f t="shared" si="2"/>
        <v>0</v>
      </c>
      <c r="BI14" s="166" t="str">
        <f t="shared" si="3"/>
        <v>②工事（調査及び設計業務等）</v>
      </c>
      <c r="BJ14" s="36" t="str">
        <f>IF(AG14=契約状況コード表!G$5,"",IF(AND(K14&lt;&gt;"",ISTEXT(U14)),"分担契約/単価契約",IF(ISTEXT(U14),"単価契約",IF(K14&lt;&gt;"","分担契約",""))))</f>
        <v/>
      </c>
      <c r="BK14" s="167"/>
      <c r="BL14" s="115" t="str">
        <f>IF(COUNTIF(T14,"**"),"",IF(AND(T14&gt;=契約状況コード表!P$5,OR(H14=契約状況コード表!M$5,H14=契約状況コード表!M$6)),1,IF(AND(T14&gt;=契約状況コード表!P$13,H14&lt;&gt;契約状況コード表!M$5,H14&lt;&gt;契約状況コード表!M$6),1,"")))</f>
        <v/>
      </c>
      <c r="BM14" s="151" t="str">
        <f t="shared" si="4"/>
        <v>○</v>
      </c>
      <c r="BN14" s="115" t="b">
        <f t="shared" si="5"/>
        <v>1</v>
      </c>
      <c r="BO14" s="115" t="b">
        <f t="shared" si="6"/>
        <v>1</v>
      </c>
    </row>
    <row r="15" spans="1:68" ht="76.5" customHeight="1">
      <c r="A15" s="99">
        <f t="shared" si="7"/>
        <v>10</v>
      </c>
      <c r="B15" s="99">
        <f t="shared" si="8"/>
        <v>3</v>
      </c>
      <c r="C15" s="99" t="str">
        <f>IF(B15&lt;&gt;1,"",COUNTIF($B$6:B15,1))</f>
        <v/>
      </c>
      <c r="D15" s="99" t="str">
        <f>IF(B15&lt;&gt;2,"",COUNTIF($B$6:B15,2))</f>
        <v/>
      </c>
      <c r="E15" s="99">
        <f>IF(B15&lt;&gt;3,"",COUNTIF($B$6:B15,3))</f>
        <v>5</v>
      </c>
      <c r="F15" s="99" t="str">
        <f>IF(B15&lt;&gt;4,"",COUNTIF($B$6:B15,4))</f>
        <v/>
      </c>
      <c r="G15" s="198" t="s">
        <v>236</v>
      </c>
      <c r="H15" s="36" t="s">
        <v>36</v>
      </c>
      <c r="I15" s="76" t="s">
        <v>218</v>
      </c>
      <c r="J15" s="76" t="s">
        <v>189</v>
      </c>
      <c r="K15" s="75"/>
      <c r="L15" s="157"/>
      <c r="M15" s="77">
        <v>44956</v>
      </c>
      <c r="N15" s="76" t="s">
        <v>204</v>
      </c>
      <c r="O15" s="78">
        <v>9120001074460</v>
      </c>
      <c r="P15" s="82" t="s">
        <v>77</v>
      </c>
      <c r="Q15" s="83"/>
      <c r="R15" s="76" t="s">
        <v>185</v>
      </c>
      <c r="S15" s="75"/>
      <c r="T15" s="205">
        <v>14542000</v>
      </c>
      <c r="U15" s="206">
        <v>13860000</v>
      </c>
      <c r="V15" s="85"/>
      <c r="W15" s="168">
        <f>IF(OR(T15="他官署で調達手続きを実施のため",AG15=契約状況コード表!G$5),"－",IF(V15&lt;&gt;"",ROUNDDOWN(V15/T15,3),(IFERROR(ROUNDDOWN(U15/T15,3),"－"))))</f>
        <v>0.95299999999999996</v>
      </c>
      <c r="X15" s="84"/>
      <c r="Y15" s="84"/>
      <c r="Z15" s="81" t="s">
        <v>184</v>
      </c>
      <c r="AA15" s="79" t="s">
        <v>186</v>
      </c>
      <c r="AB15" s="80">
        <v>2</v>
      </c>
      <c r="AC15" s="81">
        <v>2</v>
      </c>
      <c r="AD15" s="81" t="s">
        <v>183</v>
      </c>
      <c r="AE15" s="81"/>
      <c r="AF15" s="81" t="s">
        <v>183</v>
      </c>
      <c r="AG15" s="79"/>
      <c r="AH15" s="76"/>
      <c r="AI15" s="76"/>
      <c r="AJ15" s="76"/>
      <c r="AK15" s="36"/>
      <c r="AL15" s="36"/>
      <c r="AM15" s="196"/>
      <c r="AN15" s="196"/>
      <c r="AO15" s="196"/>
      <c r="AP15" s="196"/>
      <c r="AQ15" s="157"/>
      <c r="AR15" s="75"/>
      <c r="AS15" s="36"/>
      <c r="AT15" s="36"/>
      <c r="AU15" s="36"/>
      <c r="AV15" s="36"/>
      <c r="AW15" s="36"/>
      <c r="AX15" s="36"/>
      <c r="AY15" s="36"/>
      <c r="AZ15" s="36"/>
      <c r="BA15" s="102"/>
      <c r="BB15" s="110"/>
      <c r="BC15" s="111" t="str">
        <f>IF(AND(OR(K15=契約状況コード表!D$5,K15=契約状況コード表!D$6),OR(AG15=契約状況コード表!G$5,AG15=契約状況コード表!G$6)),"年間支払金額(全官署)",IF(OR(AG15=契約状況コード表!G$5,AG15=契約状況コード表!G$6),"年間支払金額",IF(AND(OR(COUNTIF(AI15,"*すべて*"),COUNTIF(AI15,"*全て*")),S15="●",OR(K15=契約状況コード表!D$5,K15=契約状況コード表!D$6)),"年間支払金額(全官署、契約相手方ごと)",IF(AND(OR(COUNTIF(AI15,"*すべて*"),COUNTIF(AI15,"*全て*")),S15="●"),"年間支払金額(契約相手方ごと)",IF(AND(OR(K15=契約状況コード表!D$5,K15=契約状況コード表!D$6),AG15=契約状況コード表!G$7),"契約総額(全官署)",IF(AND(K15=契約状況コード表!D$7,AG15=契約状況コード表!G$7),"契約総額(自官署のみ)",IF(K15=契約状況コード表!D$7,"年間支払金額(自官署のみ)",IF(AG15=契約状況コード表!G$7,"契約総額",IF(AND(COUNTIF(BJ15,"&lt;&gt;*単価*"),OR(K15=契約状況コード表!D$5,K15=契約状況コード表!D$6)),"全官署予定価格",IF(AND(COUNTIF(BJ15,"*単価*"),OR(K15=契約状況コード表!D$5,K15=契約状況コード表!D$6)),"全官署支払金額",IF(AND(COUNTIF(BJ15,"&lt;&gt;*単価*"),COUNTIF(BJ15,"*変更契約*")),"変更後予定価格",IF(COUNTIF(BJ15,"*単価*"),"年間支払金額","予定価格"))))))))))))</f>
        <v>予定価格</v>
      </c>
      <c r="BD15" s="111" t="str">
        <f>IF(AND(BI15=契約状況コード表!M$5,T15&gt;契約状況コード表!N$5),"○",IF(AND(BI15=契約状況コード表!M$6,T15&gt;=契約状況コード表!N$6),"○",IF(AND(BI15=契約状況コード表!M$7,T15&gt;=契約状況コード表!N$7),"○",IF(AND(BI15=契約状況コード表!M$8,T15&gt;=契約状況コード表!N$8),"○",IF(AND(BI15=契約状況コード表!M$9,T15&gt;=契約状況コード表!N$9),"○",IF(AND(BI15=契約状況コード表!M$10,T15&gt;=契約状況コード表!N$10),"○",IF(AND(BI15=契約状況コード表!M$11,T15&gt;=契約状況コード表!N$11),"○",IF(AND(BI15=契約状況コード表!M$12,T15&gt;=契約状況コード表!N$12),"○",IF(AND(BI15=契約状況コード表!M$13,T15&gt;=契約状況コード表!N$13),"○",IF(T15="他官署で調達手続き入札を実施のため","○","×"))))))))))</f>
        <v>○</v>
      </c>
      <c r="BE15" s="111" t="str">
        <f>IF(AND(BI15=契約状況コード表!M$5,Y15&gt;契約状況コード表!N$5),"○",IF(AND(BI15=契約状況コード表!M$6,Y15&gt;=契約状況コード表!N$6),"○",IF(AND(BI15=契約状況コード表!M$7,Y15&gt;=契約状況コード表!N$7),"○",IF(AND(BI15=契約状況コード表!M$8,Y15&gt;=契約状況コード表!N$8),"○",IF(AND(BI15=契約状況コード表!M$9,Y15&gt;=契約状況コード表!N$9),"○",IF(AND(BI15=契約状況コード表!M$10,Y15&gt;=契約状況コード表!N$10),"○",IF(AND(BI15=契約状況コード表!M$11,Y15&gt;=契約状況コード表!N$11),"○",IF(AND(BI15=契約状況コード表!M$12,Y15&gt;=契約状況コード表!N$12),"○",IF(AND(BI15=契約状況コード表!M$13,Y15&gt;=契約状況コード表!N$13),"○","×")))))))))</f>
        <v>×</v>
      </c>
      <c r="BF15" s="111" t="str">
        <f t="shared" si="0"/>
        <v>○</v>
      </c>
      <c r="BG15" s="111" t="str">
        <f t="shared" si="1"/>
        <v>○</v>
      </c>
      <c r="BH15" s="112">
        <f t="shared" si="2"/>
        <v>0</v>
      </c>
      <c r="BI15" s="166" t="str">
        <f t="shared" si="3"/>
        <v>⑦物品等購入</v>
      </c>
      <c r="BJ15" s="36" t="str">
        <f>IF(AG15=契約状況コード表!G$5,"",IF(AND(K15&lt;&gt;"",ISTEXT(U15)),"分担契約/単価契約",IF(ISTEXT(U15),"単価契約",IF(K15&lt;&gt;"","分担契約",""))))</f>
        <v/>
      </c>
      <c r="BK15" s="167"/>
      <c r="BL15" s="115" t="str">
        <f>IF(COUNTIF(T15,"**"),"",IF(AND(T15&gt;=契約状況コード表!P$5,OR(H15=契約状況コード表!M$5,H15=契約状況コード表!M$6)),1,IF(AND(T15&gt;=契約状況コード表!P$13,H15&lt;&gt;契約状況コード表!M$5,H15&lt;&gt;契約状況コード表!M$6),1,"")))</f>
        <v/>
      </c>
      <c r="BM15" s="151" t="str">
        <f t="shared" si="4"/>
        <v>○</v>
      </c>
      <c r="BN15" s="115" t="b">
        <f t="shared" si="5"/>
        <v>1</v>
      </c>
      <c r="BO15" s="115" t="b">
        <f t="shared" si="6"/>
        <v>1</v>
      </c>
    </row>
    <row r="16" spans="1:68" ht="100.5" customHeight="1">
      <c r="A16" s="99">
        <f t="shared" si="7"/>
        <v>11</v>
      </c>
      <c r="B16" s="99">
        <f t="shared" si="8"/>
        <v>3</v>
      </c>
      <c r="C16" s="99" t="str">
        <f>IF(B16&lt;&gt;1,"",COUNTIF($B$6:B16,1))</f>
        <v/>
      </c>
      <c r="D16" s="99" t="str">
        <f>IF(B16&lt;&gt;2,"",COUNTIF($B$6:B16,2))</f>
        <v/>
      </c>
      <c r="E16" s="99">
        <f>IF(B16&lt;&gt;3,"",COUNTIF($B$6:B16,3))</f>
        <v>6</v>
      </c>
      <c r="F16" s="99" t="str">
        <f>IF(B16&lt;&gt;4,"",COUNTIF($B$6:B16,4))</f>
        <v/>
      </c>
      <c r="G16" s="198" t="s">
        <v>237</v>
      </c>
      <c r="H16" s="36" t="s">
        <v>23</v>
      </c>
      <c r="I16" s="76" t="s">
        <v>220</v>
      </c>
      <c r="J16" s="76" t="s">
        <v>189</v>
      </c>
      <c r="K16" s="75"/>
      <c r="L16" s="157"/>
      <c r="M16" s="77">
        <v>44957</v>
      </c>
      <c r="N16" s="76" t="s">
        <v>212</v>
      </c>
      <c r="O16" s="78">
        <v>6120001072913</v>
      </c>
      <c r="P16" s="82" t="s">
        <v>77</v>
      </c>
      <c r="Q16" s="83"/>
      <c r="R16" s="76" t="s">
        <v>185</v>
      </c>
      <c r="S16" s="75"/>
      <c r="T16" s="205">
        <v>2197037</v>
      </c>
      <c r="U16" s="206">
        <v>1402500</v>
      </c>
      <c r="V16" s="85"/>
      <c r="W16" s="168">
        <f>IF(OR(T16="他官署で調達手続きを実施のため",AG16=契約状況コード表!G$5),"－",IF(V16&lt;&gt;"",ROUNDDOWN(V16/T16,3),(IFERROR(ROUNDDOWN(U16/T16,3),"－"))))</f>
        <v>0.63800000000000001</v>
      </c>
      <c r="X16" s="84"/>
      <c r="Y16" s="84"/>
      <c r="Z16" s="81" t="s">
        <v>184</v>
      </c>
      <c r="AA16" s="79" t="s">
        <v>186</v>
      </c>
      <c r="AB16" s="80">
        <v>2</v>
      </c>
      <c r="AC16" s="81">
        <v>2</v>
      </c>
      <c r="AD16" s="81" t="s">
        <v>183</v>
      </c>
      <c r="AE16" s="81"/>
      <c r="AF16" s="81" t="s">
        <v>183</v>
      </c>
      <c r="AG16" s="79"/>
      <c r="AH16" s="76"/>
      <c r="AI16" s="76"/>
      <c r="AJ16" s="76"/>
      <c r="AK16" s="36"/>
      <c r="AL16" s="36"/>
      <c r="AM16" s="196"/>
      <c r="AN16" s="196"/>
      <c r="AO16" s="196"/>
      <c r="AP16" s="196"/>
      <c r="AQ16" s="157"/>
      <c r="AR16" s="75"/>
      <c r="AS16" s="36"/>
      <c r="AT16" s="36"/>
      <c r="AU16" s="36"/>
      <c r="AV16" s="36"/>
      <c r="AW16" s="36"/>
      <c r="AX16" s="36"/>
      <c r="AY16" s="36"/>
      <c r="AZ16" s="36"/>
      <c r="BA16" s="102"/>
      <c r="BB16" s="110"/>
      <c r="BC16" s="111" t="str">
        <f>IF(AND(OR(K16=契約状況コード表!D$5,K16=契約状況コード表!D$6),OR(AG16=契約状況コード表!G$5,AG16=契約状況コード表!G$6)),"年間支払金額(全官署)",IF(OR(AG16=契約状況コード表!G$5,AG16=契約状況コード表!G$6),"年間支払金額",IF(AND(OR(COUNTIF(AI16,"*すべて*"),COUNTIF(AI16,"*全て*")),S16="●",OR(K16=契約状況コード表!D$5,K16=契約状況コード表!D$6)),"年間支払金額(全官署、契約相手方ごと)",IF(AND(OR(COUNTIF(AI16,"*すべて*"),COUNTIF(AI16,"*全て*")),S16="●"),"年間支払金額(契約相手方ごと)",IF(AND(OR(K16=契約状況コード表!D$5,K16=契約状況コード表!D$6),AG16=契約状況コード表!G$7),"契約総額(全官署)",IF(AND(K16=契約状況コード表!D$7,AG16=契約状況コード表!G$7),"契約総額(自官署のみ)",IF(K16=契約状況コード表!D$7,"年間支払金額(自官署のみ)",IF(AG16=契約状況コード表!G$7,"契約総額",IF(AND(COUNTIF(BJ16,"&lt;&gt;*単価*"),OR(K16=契約状況コード表!D$5,K16=契約状況コード表!D$6)),"全官署予定価格",IF(AND(COUNTIF(BJ16,"*単価*"),OR(K16=契約状況コード表!D$5,K16=契約状況コード表!D$6)),"全官署支払金額",IF(AND(COUNTIF(BJ16,"&lt;&gt;*単価*"),COUNTIF(BJ16,"*変更契約*")),"変更後予定価格",IF(COUNTIF(BJ16,"*単価*"),"年間支払金額","予定価格"))))))))))))</f>
        <v>予定価格</v>
      </c>
      <c r="BD16" s="111" t="str">
        <f>IF(AND(BI16=契約状況コード表!M$5,T16&gt;契約状況コード表!N$5),"○",IF(AND(BI16=契約状況コード表!M$6,T16&gt;=契約状況コード表!N$6),"○",IF(AND(BI16=契約状況コード表!M$7,T16&gt;=契約状況コード表!N$7),"○",IF(AND(BI16=契約状況コード表!M$8,T16&gt;=契約状況コード表!N$8),"○",IF(AND(BI16=契約状況コード表!M$9,T16&gt;=契約状況コード表!N$9),"○",IF(AND(BI16=契約状況コード表!M$10,T16&gt;=契約状況コード表!N$10),"○",IF(AND(BI16=契約状況コード表!M$11,T16&gt;=契約状況コード表!N$11),"○",IF(AND(BI16=契約状況コード表!M$12,T16&gt;=契約状況コード表!N$12),"○",IF(AND(BI16=契約状況コード表!M$13,T16&gt;=契約状況コード表!N$13),"○",IF(T16="他官署で調達手続き入札を実施のため","○","×"))))))))))</f>
        <v>○</v>
      </c>
      <c r="BE16" s="111" t="str">
        <f>IF(AND(BI16=契約状況コード表!M$5,Y16&gt;契約状況コード表!N$5),"○",IF(AND(BI16=契約状況コード表!M$6,Y16&gt;=契約状況コード表!N$6),"○",IF(AND(BI16=契約状況コード表!M$7,Y16&gt;=契約状況コード表!N$7),"○",IF(AND(BI16=契約状況コード表!M$8,Y16&gt;=契約状況コード表!N$8),"○",IF(AND(BI16=契約状況コード表!M$9,Y16&gt;=契約状況コード表!N$9),"○",IF(AND(BI16=契約状況コード表!M$10,Y16&gt;=契約状況コード表!N$10),"○",IF(AND(BI16=契約状況コード表!M$11,Y16&gt;=契約状況コード表!N$11),"○",IF(AND(BI16=契約状況コード表!M$12,Y16&gt;=契約状況コード表!N$12),"○",IF(AND(BI16=契約状況コード表!M$13,Y16&gt;=契約状況コード表!N$13),"○","×")))))))))</f>
        <v>×</v>
      </c>
      <c r="BF16" s="111" t="str">
        <f t="shared" si="0"/>
        <v>○</v>
      </c>
      <c r="BG16" s="111" t="str">
        <f t="shared" si="1"/>
        <v>○</v>
      </c>
      <c r="BH16" s="112">
        <f t="shared" si="2"/>
        <v>0</v>
      </c>
      <c r="BI16" s="166" t="str">
        <f t="shared" si="3"/>
        <v>⑩役務</v>
      </c>
      <c r="BJ16" s="36" t="str">
        <f>IF(AG16=契約状況コード表!G$5,"",IF(AND(K16&lt;&gt;"",ISTEXT(U16)),"分担契約/単価契約",IF(ISTEXT(U16),"単価契約",IF(K16&lt;&gt;"","分担契約",""))))</f>
        <v/>
      </c>
      <c r="BK16" s="167"/>
      <c r="BL16" s="115" t="str">
        <f>IF(COUNTIF(T16,"**"),"",IF(AND(T16&gt;=契約状況コード表!P$5,OR(H16=契約状況コード表!M$5,H16=契約状況コード表!M$6)),1,IF(AND(T16&gt;=契約状況コード表!P$13,H16&lt;&gt;契約状況コード表!M$5,H16&lt;&gt;契約状況コード表!M$6),1,"")))</f>
        <v/>
      </c>
      <c r="BM16" s="151" t="str">
        <f t="shared" si="4"/>
        <v>○</v>
      </c>
      <c r="BN16" s="115" t="b">
        <f t="shared" si="5"/>
        <v>1</v>
      </c>
      <c r="BO16" s="115" t="b">
        <f t="shared" si="6"/>
        <v>1</v>
      </c>
    </row>
  </sheetData>
  <sheetProtection formatCells="0" insertRows="0" insertHyperlinks="0" deleteRows="0" selectLockedCells="1" sort="0" autoFilter="0" pivotTables="0"/>
  <autoFilter ref="A5:BP16" xr:uid="{00000000-0009-0000-0000-000000000000}">
    <sortState ref="A6:BP16">
      <sortCondition ref="M5:M16"/>
    </sortState>
  </autoFilter>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2:Z1048576">
    <cfRule type="expression" dxfId="32" priority="658">
      <formula>$BL2=1</formula>
    </cfRule>
  </conditionalFormatting>
  <conditionalFormatting sqref="V6:V16">
    <cfRule type="expression" dxfId="31" priority="650">
      <formula>BJ6=""</formula>
    </cfRule>
  </conditionalFormatting>
  <conditionalFormatting sqref="AA6:AA16">
    <cfRule type="expression" dxfId="30" priority="649">
      <formula>T6="他官署で調達手続きを実施のため"</formula>
    </cfRule>
  </conditionalFormatting>
  <conditionalFormatting sqref="O6:O16">
    <cfRule type="expression" dxfId="29" priority="641">
      <formula>BM6="×"</formula>
    </cfRule>
  </conditionalFormatting>
  <conditionalFormatting sqref="AD6:AF16 Q6:Q16 AL6:AQ16 AS6:AS16 AY6:AY16 Z6:Z16">
    <cfRule type="notContainsBlanks" priority="659" stopIfTrue="1">
      <formula>LEN(TRIM(Q6))&gt;0</formula>
    </cfRule>
  </conditionalFormatting>
  <conditionalFormatting sqref="AV6:AV16">
    <cfRule type="notContainsBlanks" priority="602" stopIfTrue="1">
      <formula>LEN(TRIM(AV6))&gt;0</formula>
    </cfRule>
    <cfRule type="expression" dxfId="28" priority="603">
      <formula>$AR6="×"</formula>
    </cfRule>
    <cfRule type="expression" dxfId="27" priority="604">
      <formula>$AR6="△"</formula>
    </cfRule>
  </conditionalFormatting>
  <conditionalFormatting sqref="AZ6:AZ16 AQ6:AQ16">
    <cfRule type="notContainsBlanks" priority="598" stopIfTrue="1">
      <formula>LEN(TRIM(AQ6))&gt;0</formula>
    </cfRule>
    <cfRule type="expression" dxfId="26" priority="599">
      <formula>$AY6="×"</formula>
    </cfRule>
  </conditionalFormatting>
  <conditionalFormatting sqref="L6:L16">
    <cfRule type="expression" dxfId="25" priority="596">
      <formula>K6=""</formula>
    </cfRule>
  </conditionalFormatting>
  <conditionalFormatting sqref="AX6:AX16">
    <cfRule type="notContainsBlanks" priority="586" stopIfTrue="1">
      <formula>LEN(TRIM(AX6))&gt;0</formula>
    </cfRule>
    <cfRule type="expression" dxfId="24" priority="587">
      <formula>AW6="⑨その他"</formula>
    </cfRule>
    <cfRule type="expression" dxfId="23" priority="588">
      <formula>AV6="⑨その他"</formula>
    </cfRule>
  </conditionalFormatting>
  <conditionalFormatting sqref="AU6:AU16">
    <cfRule type="expression" dxfId="22" priority="573">
      <formula>AT6="⑧その他"</formula>
    </cfRule>
    <cfRule type="notContainsBlanks" priority="574" stopIfTrue="1">
      <formula>LEN(TRIM(AU6))&gt;0</formula>
    </cfRule>
    <cfRule type="expression" dxfId="21" priority="575">
      <formula>AS6="⑧その他"</formula>
    </cfRule>
  </conditionalFormatting>
  <conditionalFormatting sqref="AG6:AG16">
    <cfRule type="expression" dxfId="20" priority="487">
      <formula>$T6="－"</formula>
    </cfRule>
  </conditionalFormatting>
  <conditionalFormatting sqref="AE6:AE16">
    <cfRule type="expression" dxfId="19" priority="484">
      <formula>$AD6="×"</formula>
    </cfRule>
  </conditionalFormatting>
  <conditionalFormatting sqref="AC6:AE16">
    <cfRule type="expression" dxfId="18" priority="483" stopIfTrue="1">
      <formula>$AB6="－"</formula>
    </cfRule>
  </conditionalFormatting>
  <conditionalFormatting sqref="AR6:AR16">
    <cfRule type="notContainsBlanks" priority="670" stopIfTrue="1">
      <formula>LEN(TRIM(AR6))&gt;0</formula>
    </cfRule>
    <cfRule type="expression" dxfId="17" priority="671">
      <formula>$AB6=1</formula>
    </cfRule>
  </conditionalFormatting>
  <conditionalFormatting sqref="AF6:AF16 AD6:AD16 Z6:Z16">
    <cfRule type="containsBlanks" dxfId="16" priority="481">
      <formula>LEN(TRIM(Z6))=0</formula>
    </cfRule>
  </conditionalFormatting>
  <dataValidations xWindow="1147" yWindow="767" count="22">
    <dataValidation type="list" allowBlank="1" showInputMessage="1" showErrorMessage="1" sqref="AV2:AX2 AF17:AF1048576" xr:uid="{00000000-0002-0000-0000-000000000000}">
      <formula1>"○"</formula1>
    </dataValidation>
    <dataValidation type="list" allowBlank="1" showInputMessage="1" showErrorMessage="1" sqref="S6:S16" xr:uid="{00000000-0002-0000-0000-000001000000}">
      <formula1>"○,●"</formula1>
    </dataValidation>
    <dataValidation imeMode="halfAlpha" allowBlank="1" showInputMessage="1" showErrorMessage="1" sqref="M5 AB1:AB5 AC1:AC2 M17:M1048576 AB17:AB1048576 X5:Y1048576 AC5:AC1048576" xr:uid="{00000000-0002-0000-0000-000002000000}"/>
    <dataValidation type="list" allowBlank="1" showInputMessage="1" showErrorMessage="1" sqref="J1" xr:uid="{00000000-0002-0000-0000-000003000000}">
      <formula1>"（　月分）,（4月分）,（5月分）,（6月分）,（7月分）,（8月分）,（9月分）,（10月分）,（11月分）,（12月分）,（1月分）,（2月分）,（3月分）"</formula1>
    </dataValidation>
    <dataValidation type="list" allowBlank="1" showInputMessage="1" showErrorMessage="1" sqref="L17:L1048576 AD17:AD1048576" xr:uid="{00000000-0002-0000-0000-000004000000}">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 xr:uid="{00000000-0002-0000-0000-000006000000}"/>
    <dataValidation type="list" imeMode="halfAlpha" allowBlank="1" showInputMessage="1" sqref="T6:T16" xr:uid="{00000000-0002-0000-0000-000008000000}">
      <formula1>",他官署で調達手続きを実施のため,－"</formula1>
    </dataValidation>
    <dataValidation type="list" imeMode="halfAlpha" allowBlank="1" showInputMessage="1" sqref="AB6:AB16 U6:U16" xr:uid="{00000000-0002-0000-0000-000009000000}">
      <formula1>"－"</formula1>
    </dataValidation>
    <dataValidation type="list" allowBlank="1" showInputMessage="1" showErrorMessage="1" sqref="R6:R16" xr:uid="{00000000-0002-0000-0000-00000A000000}">
      <formula1>契約方式</formula1>
    </dataValidation>
    <dataValidation type="list" allowBlank="1" showInputMessage="1" showErrorMessage="1" sqref="AA6:AA16" xr:uid="{00000000-0002-0000-0000-00000B000000}">
      <formula1>予定価格の公表</formula1>
    </dataValidation>
    <dataValidation type="list" allowBlank="1" showInputMessage="1" showErrorMessage="1" sqref="AG6:AG16" xr:uid="{00000000-0002-0000-0000-00000C000000}">
      <formula1>長期・国庫区分</formula1>
    </dataValidation>
    <dataValidation type="list" allowBlank="1" showInputMessage="1" showErrorMessage="1" sqref="AH6:AH16" xr:uid="{00000000-0002-0000-0000-00000D000000}">
      <formula1>随契理由１</formula1>
    </dataValidation>
    <dataValidation type="list" allowBlank="1" showInputMessage="1" showErrorMessage="1" sqref="Z6:Z16 AY6:AY16 AF6:AF16 AD6:AD16" xr:uid="{00000000-0002-0000-0000-00000E000000}">
      <formula1>"○,×"</formula1>
    </dataValidation>
    <dataValidation type="list" allowBlank="1" showInputMessage="1" showErrorMessage="1" sqref="BI6:BI16" xr:uid="{00000000-0002-0000-0000-00000F000000}">
      <formula1>"⑦物品等購入,⑧物品等製造,⑨物品等賃貸借,⑩役務"</formula1>
    </dataValidation>
    <dataValidation type="list" imeMode="halfAlpha" allowBlank="1" showInputMessage="1" sqref="O6:O16" xr:uid="{00000000-0002-0000-0000-000010000000}">
      <formula1>" ,－"</formula1>
    </dataValidation>
    <dataValidation type="list" allowBlank="1" showInputMessage="1" showErrorMessage="1" sqref="AR6:AR16" xr:uid="{00000000-0002-0000-0000-000011000000}">
      <formula1>"○,△,×"</formula1>
    </dataValidation>
    <dataValidation type="list" allowBlank="1" showInputMessage="1" showErrorMessage="1" sqref="BJ6:BJ16" xr:uid="{00000000-0002-0000-0000-000012000000}">
      <formula1>"単価契約,分担契約/単価契約"</formula1>
    </dataValidation>
    <dataValidation type="list" allowBlank="1" showInputMessage="1" showErrorMessage="1" sqref="Q6:Q16" xr:uid="{00000000-0002-0000-0000-000013000000}">
      <formula1>国所管都道府県所管の区分</formula1>
    </dataValidation>
    <dataValidation type="list" allowBlank="1" showInputMessage="1" showErrorMessage="1" sqref="AO6:AO16" xr:uid="{00000000-0002-0000-0000-000014000000}">
      <formula1>"該当,非該当"</formula1>
    </dataValidation>
    <dataValidation type="list" allowBlank="1" showInputMessage="1" showErrorMessage="1" sqref="AP6:AP16" xr:uid="{00000000-0002-0000-0000-000015000000}">
      <formula1>"有,無"</formula1>
    </dataValidation>
    <dataValidation type="textLength" imeMode="halfAlpha" operator="equal" allowBlank="1" showInputMessage="1" showErrorMessage="1" sqref="G2:G1048576" xr:uid="{00000000-0002-0000-0000-000007000000}">
      <formula1>5</formula1>
    </dataValidation>
    <dataValidation imeMode="halfAlpha" allowBlank="1" showInputMessage="1" sqref="V5:V1048576" xr:uid="{00000000-0002-0000-0000-000016000000}"/>
  </dataValidations>
  <pageMargins left="0.23622047244094491" right="0.23622047244094491" top="0.74803149606299213" bottom="0.74803149606299213" header="0.31496062992125984" footer="0.31496062992125984"/>
  <pageSetup paperSize="8" scale="51" fitToHeight="0" pageOrder="overThenDown" orientation="landscape" r:id="rId1"/>
  <headerFooter>
    <oddFooter>&amp;P / &amp;N ページ</oddFooter>
  </headerFooter>
  <colBreaks count="1" manualBreakCount="1">
    <brk id="32" max="46" man="1"/>
  </colBreaks>
  <extLst>
    <ext xmlns:x14="http://schemas.microsoft.com/office/spreadsheetml/2009/9/main" uri="{78C0D931-6437-407d-A8EE-F0AAD7539E65}">
      <x14:conditionalFormattings>
        <x14:conditionalFormatting xmlns:xm="http://schemas.microsoft.com/office/excel/2006/main">
          <x14:cfRule type="expression" priority="628" id="{25DB50EB-8038-469B-BB45-EA4922C63C73}">
            <xm:f>$R6=契約状況コード表!$B$8</xm:f>
            <x14:dxf>
              <fill>
                <patternFill>
                  <bgColor theme="0" tint="-0.14996795556505021"/>
                </patternFill>
              </fill>
            </x14:dxf>
          </x14:cfRule>
          <x14:cfRule type="expression" priority="629" id="{00BC7CA0-96B3-4238-AE26-4957EDDD390E}">
            <xm:f>$R6=契約状況コード表!$B$6</xm:f>
            <x14:dxf>
              <fill>
                <patternFill>
                  <bgColor theme="0" tint="-0.14996795556505021"/>
                </patternFill>
              </fill>
            </x14:dxf>
          </x14:cfRule>
          <x14:cfRule type="expression" priority="630" id="{62E45280-714F-456A-8674-8FDAD024EBFA}">
            <xm:f>$R6=契約状況コード表!$B$5</xm:f>
            <x14:dxf>
              <fill>
                <patternFill>
                  <bgColor theme="0" tint="-0.14996795556505021"/>
                </patternFill>
              </fill>
            </x14:dxf>
          </x14:cfRule>
          <xm:sqref>S6:S16</xm:sqref>
        </x14:conditionalFormatting>
        <x14:conditionalFormatting xmlns:xm="http://schemas.microsoft.com/office/excel/2006/main">
          <x14:cfRule type="expression" priority="660" id="{37938914-0909-47EF-8595-2110B788565F}">
            <xm:f>$AK6=契約状況コード表!$J$7</xm:f>
            <x14:dxf>
              <fill>
                <patternFill>
                  <bgColor theme="9" tint="0.79998168889431442"/>
                </patternFill>
              </fill>
            </x14:dxf>
          </x14:cfRule>
          <xm:sqref>AL6:AL16</xm:sqref>
        </x14:conditionalFormatting>
        <x14:conditionalFormatting xmlns:xm="http://schemas.microsoft.com/office/excel/2006/main">
          <x14:cfRule type="expression" priority="606" id="{90C68E5A-FAE1-4D06-B7EA-A3AE942BDA01}">
            <xm:f>$AR6=契約状況コード表!$Q$5</xm:f>
            <x14:dxf>
              <fill>
                <patternFill>
                  <bgColor theme="9" tint="0.79998168889431442"/>
                </patternFill>
              </fill>
            </x14:dxf>
          </x14:cfRule>
          <xm:sqref>AS6:AS16</xm:sqref>
        </x14:conditionalFormatting>
        <x14:conditionalFormatting xmlns:xm="http://schemas.microsoft.com/office/excel/2006/main">
          <x14:cfRule type="expression" priority="594" id="{578B26D2-9EA7-4EAB-8FB8-8955E03F9372}">
            <xm:f>$AR6=契約状況コード表!$Q$6</xm:f>
            <x14:dxf>
              <fill>
                <patternFill>
                  <bgColor theme="9" tint="0.79998168889431442"/>
                </patternFill>
              </fill>
            </x14:dxf>
          </x14:cfRule>
          <x14:cfRule type="expression" priority="663" id="{CB24BF05-7E84-490B-B5E0-5E19F964F106}">
            <xm:f>$AR6=契約状況コード表!$Q$5</xm:f>
            <x14:dxf>
              <fill>
                <patternFill>
                  <bgColor theme="9" tint="0.79998168889431442"/>
                </patternFill>
              </fill>
            </x14:dxf>
          </x14:cfRule>
          <xm:sqref>AY6:AY16</xm:sqref>
        </x14:conditionalFormatting>
        <x14:conditionalFormatting xmlns:xm="http://schemas.microsoft.com/office/excel/2006/main">
          <x14:cfRule type="expression" priority="486" id="{D660B9C0-6D48-4EC9-AC7B-F8C20BC5D1C9}">
            <xm:f>OR(P6=契約状況コード表!$E$10,P6=契約状況コード表!$E$9,P6=契約状況コード表!$E$8,P6=契約状況コード表!$E$7)</xm:f>
            <x14:dxf>
              <fill>
                <patternFill>
                  <bgColor theme="0" tint="-0.34998626667073579"/>
                </patternFill>
              </fill>
            </x14:dxf>
          </x14:cfRule>
          <xm:sqref>Q6:Q16</xm:sqref>
        </x14:conditionalFormatting>
        <x14:conditionalFormatting xmlns:xm="http://schemas.microsoft.com/office/excel/2006/main">
          <x14:cfRule type="expression" priority="664" stopIfTrue="1" id="{00639DF7-533E-4176-ADA5-8290804FAC7E}">
            <xm:f>$AK6=契約状況コード表!$J$7</xm:f>
            <x14:dxf/>
          </x14:cfRule>
          <x14:cfRule type="expression" priority="665" stopIfTrue="1" id="{78FD6DD6-8EE0-4258-BF47-BFF09364D919}">
            <xm:f>$AK6=契約状況コード表!$J$6</xm:f>
            <x14:dxf/>
          </x14:cfRule>
          <x14:cfRule type="expression" priority="666" stopIfTrue="1" id="{4FE3D121-5682-4A9F-BE63-68DDB9DB7DEB}">
            <xm:f>$AK6=契約状況コード表!$J$5</xm:f>
            <x14:dxf>
              <fill>
                <patternFill patternType="none">
                  <bgColor auto="1"/>
                </patternFill>
              </fill>
            </x14:dxf>
          </x14:cfRule>
          <x14:cfRule type="expression" priority="667" id="{6404739C-E3EA-4701-B47F-EE1C7BDDDE01}">
            <xm:f>$R6=契約状況コード表!$B$7</xm:f>
            <x14:dxf>
              <fill>
                <patternFill>
                  <bgColor theme="9" tint="0.79998168889431442"/>
                </patternFill>
              </fill>
            </x14:dxf>
          </x14:cfRule>
          <x14:cfRule type="expression" priority="668" id="{1BEF10E0-C567-44C4-B5C5-93390E7E5380}">
            <xm:f>$R6=契約状況コード表!$B$6</xm:f>
            <x14:dxf>
              <fill>
                <patternFill>
                  <bgColor theme="9" tint="0.79998168889431442"/>
                </patternFill>
              </fill>
            </x14:dxf>
          </x14:cfRule>
          <xm:sqref>AK6:AK16</xm:sqref>
        </x14:conditionalFormatting>
        <x14:conditionalFormatting xmlns:xm="http://schemas.microsoft.com/office/excel/2006/main">
          <x14:cfRule type="expression" priority="440" id="{874D420B-8B78-4141-90A6-256DCFA180B0}">
            <xm:f>$R6=契約状況コード表!$B$6</xm:f>
            <x14:dxf>
              <fill>
                <patternFill>
                  <bgColor theme="9" tint="0.79998168889431442"/>
                </patternFill>
              </fill>
            </x14:dxf>
          </x14:cfRule>
          <xm:sqref>AQ6:AQ16</xm:sqref>
        </x14:conditionalFormatting>
        <x14:conditionalFormatting xmlns:xm="http://schemas.microsoft.com/office/excel/2006/main">
          <x14:cfRule type="expression" priority="441" id="{8B6C93C9-8FD8-47D9-A342-2C309CE1B6DA}">
            <xm:f>$AK6=契約状況コード表!$J$5</xm:f>
            <x14:dxf>
              <fill>
                <patternFill>
                  <bgColor theme="9" tint="0.79998168889431442"/>
                </patternFill>
              </fill>
            </x14:dxf>
          </x14:cfRule>
          <xm:sqref>AM6:AP16</xm:sqref>
        </x14:conditionalFormatting>
        <x14:conditionalFormatting xmlns:xm="http://schemas.microsoft.com/office/excel/2006/main">
          <x14:cfRule type="expression" priority="269" id="{7D0C5F24-5239-4017-B46D-C80FF449042E}">
            <xm:f>$P6=契約状況コード表!$E$5</xm:f>
            <x14:dxf>
              <fill>
                <patternFill>
                  <bgColor theme="9" tint="0.79998168889431442"/>
                </patternFill>
              </fill>
            </x14:dxf>
          </x14:cfRule>
          <x14:cfRule type="expression" priority="270" id="{9037A144-E863-4748-B99B-8EA1F9B8C258}">
            <xm:f>$P6=契約状況コード表!$E$6</xm:f>
            <x14:dxf>
              <fill>
                <patternFill>
                  <bgColor theme="9" tint="0.79998168889431442"/>
                </patternFill>
              </fill>
            </x14:dxf>
          </x14:cfRule>
          <xm:sqref>Q6:Q16</xm:sqref>
        </x14:conditionalFormatting>
      </x14:conditionalFormattings>
    </ext>
    <ext xmlns:x14="http://schemas.microsoft.com/office/spreadsheetml/2009/9/main" uri="{CCE6A557-97BC-4b89-ADB6-D9C93CAAB3DF}">
      <x14:dataValidations xmlns:xm="http://schemas.microsoft.com/office/excel/2006/main" xWindow="1147" yWindow="767" count="10">
        <x14:dataValidation type="list" allowBlank="1" showInputMessage="1" showErrorMessage="1" xr:uid="{00000000-0002-0000-0000-000017000000}">
          <x14:formula1>
            <xm:f>契約状況コード表!$Q$5:$Q$6</xm:f>
          </x14:formula1>
          <xm:sqref>BB6:BB16 L6:L16</xm:sqref>
        </x14:dataValidation>
        <x14:dataValidation type="list" allowBlank="1" showInputMessage="1" showErrorMessage="1" xr:uid="{00000000-0002-0000-0000-000018000000}">
          <x14:formula1>
            <xm:f>契約状況コード表!$A$5:$A$14</xm:f>
          </x14:formula1>
          <xm:sqref>H6:H16</xm:sqref>
        </x14:dataValidation>
        <x14:dataValidation type="list" allowBlank="1" showInputMessage="1" showErrorMessage="1" xr:uid="{00000000-0002-0000-0000-000019000000}">
          <x14:formula1>
            <xm:f>契約状況コード表!$K$5:$K$12</xm:f>
          </x14:formula1>
          <xm:sqref>AS6:AT16</xm:sqref>
        </x14:dataValidation>
        <x14:dataValidation type="list" allowBlank="1" showInputMessage="1" showErrorMessage="1" xr:uid="{00000000-0002-0000-0000-00001A000000}">
          <x14:formula1>
            <xm:f>契約状況コード表!$L$5:$L$13</xm:f>
          </x14:formula1>
          <xm:sqref>AV6:AW16</xm:sqref>
        </x14:dataValidation>
        <x14:dataValidation type="list" allowBlank="1" showInputMessage="1" showErrorMessage="1" xr:uid="{00000000-0002-0000-0000-00001B000000}">
          <x14:formula1>
            <xm:f>契約状況コード表!$E$5:$E$10</xm:f>
          </x14:formula1>
          <xm:sqref>P6:P16</xm:sqref>
        </x14:dataValidation>
        <x14:dataValidation type="list" allowBlank="1" showInputMessage="1" xr:uid="{00000000-0002-0000-0000-00001C000000}">
          <x14:formula1>
            <xm:f>契約状況コード表!$R$5:$R$7</xm:f>
          </x14:formula1>
          <xm:sqref>AJ6:AJ16</xm:sqref>
        </x14:dataValidation>
        <x14:dataValidation type="list" allowBlank="1" showInputMessage="1" showErrorMessage="1" xr:uid="{00000000-0002-0000-0000-00001D000000}">
          <x14:formula1>
            <xm:f>契約状況コード表!$J$5:$J$7</xm:f>
          </x14:formula1>
          <xm:sqref>AK6:AK16</xm:sqref>
        </x14:dataValidation>
        <x14:dataValidation type="list" allowBlank="1" showInputMessage="1" xr:uid="{00000000-0002-0000-0000-00001E000000}">
          <x14:formula1>
            <xm:f>契約状況コード表!$I$5:$I$12</xm:f>
          </x14:formula1>
          <xm:sqref>AI6:AI16</xm:sqref>
        </x14:dataValidation>
        <x14:dataValidation type="list" allowBlank="1" showInputMessage="1" showErrorMessage="1" xr:uid="{00000000-0002-0000-0000-00001F000000}">
          <x14:formula1>
            <xm:f>契約状況コード表!$S$5:$S$6</xm:f>
          </x14:formula1>
          <xm:sqref>AQ6:AQ16</xm:sqref>
        </x14:dataValidation>
        <x14:dataValidation type="list" allowBlank="1" showInputMessage="1" showErrorMessage="1" xr:uid="{00000000-0002-0000-0000-000020000000}">
          <x14:formula1>
            <xm:f>契約状況コード表!$D$5:$D$7</xm:f>
          </x14:formula1>
          <xm:sqref>K6:K1048576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
  <sheetViews>
    <sheetView showZeros="0" tabSelected="1" view="pageBreakPreview" zoomScale="80" zoomScaleNormal="100" zoomScaleSheetLayoutView="80" workbookViewId="0">
      <selection activeCell="B7" sqref="B7"/>
    </sheetView>
  </sheetViews>
  <sheetFormatPr defaultColWidth="9" defaultRowHeight="13.5"/>
  <cols>
    <col min="1" max="1" width="9" style="130"/>
    <col min="2" max="2" width="30.625" style="129" customWidth="1"/>
    <col min="3" max="3" width="20.625" style="130" customWidth="1"/>
    <col min="4" max="4" width="14.375" style="131" customWidth="1"/>
    <col min="5" max="5" width="20.625" style="132" customWidth="1"/>
    <col min="6" max="6" width="15.625" style="132" customWidth="1"/>
    <col min="7" max="7" width="14.375" style="132" customWidth="1"/>
    <col min="8" max="8" width="14.625" style="133" customWidth="1"/>
    <col min="9" max="9" width="14.625" style="131" customWidth="1"/>
    <col min="10" max="10" width="7.625" style="132" customWidth="1"/>
    <col min="11" max="12" width="8.125" style="132" customWidth="1"/>
    <col min="13" max="13" width="8.125" style="134" customWidth="1"/>
    <col min="14" max="14" width="12" style="132" customWidth="1"/>
    <col min="15" max="16384" width="9" style="129"/>
  </cols>
  <sheetData>
    <row r="1" spans="1:14" ht="27.75" customHeight="1">
      <c r="A1" s="242"/>
      <c r="B1" s="245" t="s">
        <v>59</v>
      </c>
      <c r="C1" s="246"/>
      <c r="D1" s="246"/>
      <c r="E1" s="246"/>
      <c r="F1" s="246"/>
      <c r="G1" s="246"/>
      <c r="H1" s="246"/>
      <c r="I1" s="246"/>
      <c r="J1" s="246"/>
      <c r="K1" s="246"/>
      <c r="L1" s="246"/>
      <c r="M1" s="246"/>
      <c r="N1" s="246"/>
    </row>
    <row r="2" spans="1:14">
      <c r="A2" s="243"/>
    </row>
    <row r="3" spans="1:14">
      <c r="A3" s="243"/>
      <c r="B3" s="135"/>
      <c r="N3" s="136"/>
    </row>
    <row r="4" spans="1:14" ht="21.95" customHeight="1">
      <c r="A4" s="243"/>
      <c r="B4" s="240" t="s">
        <v>60</v>
      </c>
      <c r="C4" s="240" t="s">
        <v>61</v>
      </c>
      <c r="D4" s="240" t="s">
        <v>62</v>
      </c>
      <c r="E4" s="240" t="s">
        <v>63</v>
      </c>
      <c r="F4" s="247" t="s">
        <v>64</v>
      </c>
      <c r="G4" s="240" t="s">
        <v>65</v>
      </c>
      <c r="H4" s="249" t="s">
        <v>66</v>
      </c>
      <c r="I4" s="240" t="s">
        <v>67</v>
      </c>
      <c r="J4" s="240" t="s">
        <v>68</v>
      </c>
      <c r="K4" s="241" t="s">
        <v>69</v>
      </c>
      <c r="L4" s="241"/>
      <c r="M4" s="241"/>
      <c r="N4" s="247" t="s">
        <v>73</v>
      </c>
    </row>
    <row r="5" spans="1:14" s="139" customFormat="1" ht="36" customHeight="1">
      <c r="A5" s="244"/>
      <c r="B5" s="240"/>
      <c r="C5" s="240"/>
      <c r="D5" s="240"/>
      <c r="E5" s="240"/>
      <c r="F5" s="248"/>
      <c r="G5" s="240"/>
      <c r="H5" s="249"/>
      <c r="I5" s="240"/>
      <c r="J5" s="240"/>
      <c r="K5" s="137" t="s">
        <v>70</v>
      </c>
      <c r="L5" s="137" t="s">
        <v>71</v>
      </c>
      <c r="M5" s="138" t="s">
        <v>72</v>
      </c>
      <c r="N5" s="248"/>
    </row>
    <row r="6" spans="1:14" s="139" customFormat="1" ht="84.75" customHeight="1">
      <c r="A6" s="140">
        <v>1</v>
      </c>
      <c r="B6" s="141" t="s">
        <v>241</v>
      </c>
      <c r="C6" s="128" t="s">
        <v>187</v>
      </c>
      <c r="D6" s="142">
        <v>44946</v>
      </c>
      <c r="E6" s="141" t="s">
        <v>242</v>
      </c>
      <c r="F6" s="143">
        <v>7120001166425</v>
      </c>
      <c r="G6" s="144" t="s">
        <v>238</v>
      </c>
      <c r="H6" s="145" t="s">
        <v>243</v>
      </c>
      <c r="I6" s="145">
        <v>990000</v>
      </c>
      <c r="J6" s="146" t="s">
        <v>240</v>
      </c>
      <c r="K6" s="147" t="s">
        <v>244</v>
      </c>
      <c r="L6" s="147">
        <v>0</v>
      </c>
      <c r="M6" s="148" t="s">
        <v>244</v>
      </c>
      <c r="N6" s="149">
        <v>0</v>
      </c>
    </row>
    <row r="7" spans="1:14" s="139" customFormat="1" ht="102" customHeight="1">
      <c r="A7" s="140">
        <v>2</v>
      </c>
      <c r="B7" s="141" t="s">
        <v>245</v>
      </c>
      <c r="C7" s="128" t="s">
        <v>187</v>
      </c>
      <c r="D7" s="142">
        <v>44946</v>
      </c>
      <c r="E7" s="141" t="s">
        <v>242</v>
      </c>
      <c r="F7" s="143">
        <v>7120001166425</v>
      </c>
      <c r="G7" s="144" t="s">
        <v>238</v>
      </c>
      <c r="H7" s="145" t="s">
        <v>243</v>
      </c>
      <c r="I7" s="145">
        <v>2156000</v>
      </c>
      <c r="J7" s="146" t="s">
        <v>240</v>
      </c>
      <c r="K7" s="147" t="s">
        <v>244</v>
      </c>
      <c r="L7" s="147">
        <v>0</v>
      </c>
      <c r="M7" s="148" t="s">
        <v>244</v>
      </c>
      <c r="N7" s="149">
        <v>0</v>
      </c>
    </row>
    <row r="8" spans="1:14" s="139" customFormat="1" ht="107.25" customHeight="1">
      <c r="A8" s="140">
        <v>3</v>
      </c>
      <c r="B8" s="141" t="s">
        <v>246</v>
      </c>
      <c r="C8" s="128" t="s">
        <v>187</v>
      </c>
      <c r="D8" s="142">
        <v>44946</v>
      </c>
      <c r="E8" s="141" t="s">
        <v>242</v>
      </c>
      <c r="F8" s="143">
        <v>7120001166425</v>
      </c>
      <c r="G8" s="144" t="s">
        <v>238</v>
      </c>
      <c r="H8" s="145" t="s">
        <v>243</v>
      </c>
      <c r="I8" s="145">
        <v>2464000</v>
      </c>
      <c r="J8" s="146" t="s">
        <v>240</v>
      </c>
      <c r="K8" s="147" t="s">
        <v>244</v>
      </c>
      <c r="L8" s="147">
        <v>0</v>
      </c>
      <c r="M8" s="148" t="s">
        <v>244</v>
      </c>
      <c r="N8" s="149">
        <v>0</v>
      </c>
    </row>
    <row r="9" spans="1:14" s="139" customFormat="1" ht="78.75" customHeight="1">
      <c r="A9" s="140">
        <v>4</v>
      </c>
      <c r="B9" s="141" t="s">
        <v>221</v>
      </c>
      <c r="C9" s="128" t="s">
        <v>187</v>
      </c>
      <c r="D9" s="142">
        <v>44938</v>
      </c>
      <c r="E9" s="141" t="s">
        <v>213</v>
      </c>
      <c r="F9" s="143">
        <v>8120901027980</v>
      </c>
      <c r="G9" s="144" t="s">
        <v>238</v>
      </c>
      <c r="H9" s="145" t="s">
        <v>239</v>
      </c>
      <c r="I9" s="145">
        <v>28968500</v>
      </c>
      <c r="J9" s="146">
        <v>0.99</v>
      </c>
      <c r="K9" s="147"/>
      <c r="L9" s="147"/>
      <c r="M9" s="148"/>
      <c r="N9" s="149"/>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9" xr:uid="{00000000-0002-0000-0100-000000000000}"/>
    <dataValidation imeMode="halfAlpha" allowBlank="1" showInputMessage="1" showErrorMessage="1" errorTitle="参考" error="半角数字で入力して下さい。" promptTitle="入力方法" prompt="半角数字で入力して下さい。" sqref="H6:J9"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F13" sqref="F13"/>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5</v>
      </c>
      <c r="B2" s="6"/>
      <c r="C2" s="6"/>
      <c r="D2" s="6"/>
      <c r="E2" s="6"/>
      <c r="F2" s="6"/>
      <c r="G2" s="6"/>
      <c r="H2" s="6"/>
      <c r="I2" s="6"/>
      <c r="J2" s="6"/>
      <c r="K2" s="6"/>
      <c r="L2" s="6"/>
    </row>
    <row r="3" spans="1:19" ht="11.25" thickBot="1">
      <c r="G3" s="8"/>
      <c r="H3" s="8"/>
      <c r="I3" s="9"/>
      <c r="J3" s="9"/>
      <c r="K3" s="9"/>
      <c r="L3" s="9"/>
    </row>
    <row r="4" spans="1:19" s="12" customFormat="1" ht="48" customHeight="1" thickBot="1">
      <c r="A4" s="10" t="s">
        <v>2</v>
      </c>
      <c r="B4" s="10" t="s">
        <v>4</v>
      </c>
      <c r="C4" s="10" t="s">
        <v>6</v>
      </c>
      <c r="D4" s="10" t="s">
        <v>7</v>
      </c>
      <c r="E4" s="10" t="s">
        <v>8</v>
      </c>
      <c r="F4" s="11" t="s">
        <v>9</v>
      </c>
      <c r="G4" s="10" t="s">
        <v>10</v>
      </c>
      <c r="H4" s="10" t="s">
        <v>11</v>
      </c>
      <c r="I4" s="10" t="s">
        <v>137</v>
      </c>
      <c r="J4" s="122" t="s">
        <v>12</v>
      </c>
      <c r="K4" s="125" t="s">
        <v>123</v>
      </c>
      <c r="L4" s="125" t="s">
        <v>124</v>
      </c>
      <c r="M4" s="92" t="s">
        <v>50</v>
      </c>
      <c r="N4" s="92"/>
      <c r="O4" s="96" t="s">
        <v>52</v>
      </c>
      <c r="P4" s="96"/>
    </row>
    <row r="5" spans="1:19" s="21" customFormat="1" ht="33" customHeight="1" thickBot="1">
      <c r="A5" s="13" t="s">
        <v>13</v>
      </c>
      <c r="B5" s="13" t="s">
        <v>14</v>
      </c>
      <c r="C5" s="15" t="s">
        <v>15</v>
      </c>
      <c r="D5" s="16" t="s">
        <v>16</v>
      </c>
      <c r="E5" s="16" t="s">
        <v>78</v>
      </c>
      <c r="F5" s="17" t="s">
        <v>80</v>
      </c>
      <c r="G5" s="18" t="s">
        <v>165</v>
      </c>
      <c r="H5" s="14" t="s">
        <v>17</v>
      </c>
      <c r="I5" s="13" t="s">
        <v>138</v>
      </c>
      <c r="J5" s="123" t="s">
        <v>135</v>
      </c>
      <c r="K5" s="126" t="s">
        <v>83</v>
      </c>
      <c r="L5" s="126" t="s">
        <v>90</v>
      </c>
      <c r="M5" s="92" t="s">
        <v>13</v>
      </c>
      <c r="N5" s="92">
        <v>2500000</v>
      </c>
      <c r="O5" s="95" t="s">
        <v>169</v>
      </c>
      <c r="P5" s="97">
        <v>680000000</v>
      </c>
      <c r="Q5" s="21" t="s">
        <v>82</v>
      </c>
      <c r="R5" s="154" t="s">
        <v>129</v>
      </c>
      <c r="S5" s="123" t="s">
        <v>167</v>
      </c>
    </row>
    <row r="6" spans="1:19" s="21" customFormat="1" ht="33" customHeight="1" thickBot="1">
      <c r="A6" s="22" t="s">
        <v>18</v>
      </c>
      <c r="B6" s="16" t="s">
        <v>19</v>
      </c>
      <c r="C6" s="24" t="s">
        <v>20</v>
      </c>
      <c r="D6" s="25" t="s">
        <v>21</v>
      </c>
      <c r="E6" s="25" t="s">
        <v>79</v>
      </c>
      <c r="F6" s="26" t="s">
        <v>81</v>
      </c>
      <c r="G6" s="27" t="s">
        <v>166</v>
      </c>
      <c r="H6" s="16" t="s">
        <v>22</v>
      </c>
      <c r="I6" s="16" t="s">
        <v>139</v>
      </c>
      <c r="J6" s="123" t="s">
        <v>132</v>
      </c>
      <c r="K6" s="127" t="s">
        <v>84</v>
      </c>
      <c r="L6" s="127" t="s">
        <v>91</v>
      </c>
      <c r="M6" s="93" t="s">
        <v>18</v>
      </c>
      <c r="N6" s="92">
        <v>1000000</v>
      </c>
      <c r="O6" s="95" t="s">
        <v>170</v>
      </c>
      <c r="P6" s="94"/>
      <c r="Q6" s="21" t="s">
        <v>53</v>
      </c>
      <c r="R6" s="155" t="s">
        <v>130</v>
      </c>
      <c r="S6" s="123" t="s">
        <v>168</v>
      </c>
    </row>
    <row r="7" spans="1:19" s="21" customFormat="1" ht="33" customHeight="1" thickBot="1">
      <c r="A7" s="14" t="s">
        <v>23</v>
      </c>
      <c r="B7" s="16" t="s">
        <v>24</v>
      </c>
      <c r="C7" s="29" t="s">
        <v>25</v>
      </c>
      <c r="D7" s="28" t="s">
        <v>26</v>
      </c>
      <c r="E7" s="25" t="s">
        <v>74</v>
      </c>
      <c r="F7" s="20"/>
      <c r="G7" s="30" t="s">
        <v>27</v>
      </c>
      <c r="H7" s="25" t="s">
        <v>28</v>
      </c>
      <c r="I7" s="16" t="s">
        <v>140</v>
      </c>
      <c r="J7" s="124" t="s">
        <v>133</v>
      </c>
      <c r="K7" s="127" t="s">
        <v>85</v>
      </c>
      <c r="L7" s="127" t="s">
        <v>92</v>
      </c>
      <c r="M7" s="92" t="s">
        <v>29</v>
      </c>
      <c r="N7" s="92">
        <v>1600000</v>
      </c>
      <c r="O7" s="94"/>
      <c r="P7" s="94"/>
      <c r="Q7" s="21" t="s">
        <v>136</v>
      </c>
      <c r="R7" s="156" t="s">
        <v>131</v>
      </c>
    </row>
    <row r="8" spans="1:19" s="21" customFormat="1" ht="33" customHeight="1" thickBot="1">
      <c r="A8" s="16" t="s">
        <v>29</v>
      </c>
      <c r="B8" s="23" t="s">
        <v>30</v>
      </c>
      <c r="C8" s="31"/>
      <c r="E8" s="25" t="s">
        <v>75</v>
      </c>
      <c r="F8" s="20"/>
      <c r="G8" s="32"/>
      <c r="H8" s="25" t="s">
        <v>31</v>
      </c>
      <c r="I8" s="16" t="s">
        <v>141</v>
      </c>
      <c r="J8" s="33"/>
      <c r="K8" s="127" t="s">
        <v>86</v>
      </c>
      <c r="L8" s="127" t="s">
        <v>93</v>
      </c>
      <c r="M8" s="92" t="s">
        <v>49</v>
      </c>
      <c r="N8" s="92">
        <v>1600000</v>
      </c>
      <c r="O8" s="94"/>
      <c r="P8" s="94"/>
    </row>
    <row r="9" spans="1:19" s="21" customFormat="1" ht="33" customHeight="1">
      <c r="A9" s="16" t="s">
        <v>32</v>
      </c>
      <c r="E9" s="16" t="s">
        <v>76</v>
      </c>
      <c r="F9" s="20"/>
      <c r="G9" s="20"/>
      <c r="H9" s="16" t="s">
        <v>33</v>
      </c>
      <c r="I9" s="16" t="s">
        <v>142</v>
      </c>
      <c r="J9" s="34"/>
      <c r="K9" s="126" t="s">
        <v>87</v>
      </c>
      <c r="L9" s="126" t="s">
        <v>94</v>
      </c>
      <c r="M9" s="92" t="s">
        <v>34</v>
      </c>
      <c r="N9" s="92">
        <v>1000000</v>
      </c>
      <c r="O9" s="94"/>
      <c r="P9" s="94"/>
    </row>
    <row r="10" spans="1:19" s="21" customFormat="1" ht="33" customHeight="1" thickBot="1">
      <c r="A10" s="16" t="s">
        <v>34</v>
      </c>
      <c r="E10" s="101" t="s">
        <v>77</v>
      </c>
      <c r="G10" s="20"/>
      <c r="H10" s="16" t="s">
        <v>35</v>
      </c>
      <c r="I10" s="16" t="s">
        <v>143</v>
      </c>
      <c r="J10" s="34"/>
      <c r="K10" s="126" t="s">
        <v>88</v>
      </c>
      <c r="L10" s="126" t="s">
        <v>95</v>
      </c>
      <c r="M10" s="92" t="s">
        <v>36</v>
      </c>
      <c r="N10" s="92">
        <v>1600000</v>
      </c>
      <c r="O10" s="94"/>
      <c r="P10" s="94"/>
    </row>
    <row r="11" spans="1:19" s="21" customFormat="1" ht="33" customHeight="1">
      <c r="A11" s="25" t="s">
        <v>36</v>
      </c>
      <c r="G11" s="20"/>
      <c r="H11" s="16" t="s">
        <v>37</v>
      </c>
      <c r="I11" s="16" t="s">
        <v>144</v>
      </c>
      <c r="J11" s="34"/>
      <c r="K11" s="126" t="s">
        <v>89</v>
      </c>
      <c r="L11" s="126" t="s">
        <v>96</v>
      </c>
      <c r="M11" s="92" t="s">
        <v>38</v>
      </c>
      <c r="N11" s="92">
        <v>2500000</v>
      </c>
      <c r="O11" s="94"/>
      <c r="P11" s="94"/>
    </row>
    <row r="12" spans="1:19" s="21" customFormat="1" ht="33" customHeight="1">
      <c r="A12" s="25" t="s">
        <v>38</v>
      </c>
      <c r="G12" s="20"/>
      <c r="H12" s="16" t="s">
        <v>39</v>
      </c>
      <c r="I12" s="158" t="s">
        <v>145</v>
      </c>
      <c r="J12" s="19"/>
      <c r="K12" s="126" t="s">
        <v>121</v>
      </c>
      <c r="L12" s="126" t="s">
        <v>97</v>
      </c>
      <c r="M12" s="92" t="s">
        <v>40</v>
      </c>
      <c r="N12" s="92">
        <v>800000</v>
      </c>
      <c r="O12" s="94"/>
      <c r="P12" s="94"/>
    </row>
    <row r="13" spans="1:19" s="21" customFormat="1" ht="33" customHeight="1" thickBot="1">
      <c r="A13" s="25" t="s">
        <v>40</v>
      </c>
      <c r="G13" s="20"/>
      <c r="H13" s="16" t="s">
        <v>41</v>
      </c>
      <c r="I13" s="23"/>
      <c r="J13" s="19"/>
      <c r="K13" s="19"/>
      <c r="L13" s="126" t="s">
        <v>122</v>
      </c>
      <c r="M13" s="92" t="s">
        <v>42</v>
      </c>
      <c r="N13" s="92">
        <v>1000000</v>
      </c>
      <c r="O13" s="94"/>
      <c r="P13" s="97">
        <v>15000000</v>
      </c>
    </row>
    <row r="14" spans="1:19" s="21" customFormat="1" ht="33" customHeight="1" thickBot="1">
      <c r="A14" s="28" t="s">
        <v>42</v>
      </c>
      <c r="G14" s="20"/>
      <c r="H14" s="16" t="s">
        <v>43</v>
      </c>
      <c r="I14" s="34"/>
      <c r="J14" s="19"/>
      <c r="K14" s="19"/>
      <c r="L14" s="19"/>
      <c r="M14" s="92"/>
      <c r="N14" s="37"/>
      <c r="O14" s="94"/>
      <c r="P14" s="94"/>
    </row>
    <row r="15" spans="1:19" s="21" customFormat="1" ht="33" customHeight="1">
      <c r="G15" s="20"/>
      <c r="H15" s="16" t="s">
        <v>44</v>
      </c>
      <c r="I15" s="34"/>
      <c r="J15" s="19"/>
      <c r="K15" s="19"/>
      <c r="L15" s="19"/>
      <c r="M15" s="92" t="s">
        <v>23</v>
      </c>
      <c r="N15" s="39"/>
      <c r="O15" s="91"/>
      <c r="P15" s="91"/>
    </row>
    <row r="16" spans="1:19" s="21" customFormat="1" ht="33" customHeight="1">
      <c r="G16" s="20"/>
      <c r="H16" s="16" t="s">
        <v>45</v>
      </c>
      <c r="I16" s="34"/>
      <c r="J16" s="19"/>
      <c r="K16" s="19"/>
      <c r="L16" s="19"/>
      <c r="M16" s="94"/>
      <c r="N16" s="38"/>
      <c r="O16" s="91"/>
      <c r="P16" s="91"/>
    </row>
    <row r="17" spans="2:13" s="21" customFormat="1" ht="33" customHeight="1">
      <c r="G17" s="20"/>
      <c r="H17" s="16" t="s">
        <v>46</v>
      </c>
      <c r="I17" s="34"/>
      <c r="J17" s="19"/>
      <c r="K17" s="19"/>
      <c r="L17" s="19"/>
      <c r="M17" s="95"/>
    </row>
    <row r="18" spans="2:13" s="21" customFormat="1" ht="33" customHeight="1">
      <c r="G18" s="20"/>
      <c r="H18" s="16" t="s">
        <v>47</v>
      </c>
      <c r="I18" s="34"/>
      <c r="J18" s="19"/>
      <c r="K18" s="19"/>
      <c r="L18" s="19"/>
    </row>
    <row r="19" spans="2:13" s="21" customFormat="1" ht="33" customHeight="1">
      <c r="G19" s="20"/>
      <c r="H19" s="16" t="s">
        <v>48</v>
      </c>
      <c r="I19" s="34"/>
      <c r="J19" s="19"/>
      <c r="K19" s="19"/>
      <c r="L19" s="19"/>
    </row>
    <row r="20" spans="2:13" s="21" customFormat="1" ht="33" customHeight="1" thickBot="1">
      <c r="G20" s="20"/>
      <c r="H20" s="23" t="s">
        <v>51</v>
      </c>
      <c r="I20" s="34"/>
      <c r="J20" s="19"/>
      <c r="K20" s="19"/>
      <c r="L20" s="19"/>
    </row>
    <row r="21" spans="2:13" s="21" customFormat="1">
      <c r="G21" s="20"/>
      <c r="H21" s="32"/>
      <c r="I21" s="20"/>
      <c r="J21" s="20"/>
      <c r="K21" s="20"/>
      <c r="L21" s="20"/>
    </row>
    <row r="22" spans="2:13" s="21" customFormat="1">
      <c r="G22" s="20"/>
      <c r="H22" s="20"/>
      <c r="I22" s="20"/>
      <c r="J22" s="20"/>
      <c r="K22" s="20"/>
      <c r="L22" s="20"/>
    </row>
    <row r="23" spans="2:13" s="21" customFormat="1">
      <c r="G23" s="20"/>
    </row>
    <row r="24" spans="2:13" s="21" customFormat="1">
      <c r="G24" s="20"/>
    </row>
    <row r="25" spans="2:13" s="21" customFormat="1">
      <c r="G25" s="20"/>
    </row>
    <row r="26" spans="2:13" s="21" customFormat="1">
      <c r="G26" s="20"/>
    </row>
    <row r="27" spans="2:13" s="21" customFormat="1">
      <c r="G27" s="20"/>
    </row>
    <row r="28" spans="2:13" s="21" customFormat="1">
      <c r="C28" s="7"/>
      <c r="D28" s="7"/>
      <c r="E28" s="7"/>
      <c r="F28" s="7"/>
      <c r="G28" s="20"/>
    </row>
    <row r="29" spans="2:13" s="21" customFormat="1">
      <c r="B29" s="7"/>
      <c r="C29" s="7"/>
      <c r="D29" s="7"/>
      <c r="E29" s="7"/>
      <c r="F29" s="7"/>
      <c r="G29" s="20"/>
    </row>
    <row r="30" spans="2:13">
      <c r="G30" s="35"/>
    </row>
    <row r="31" spans="2:13">
      <c r="G31" s="35"/>
    </row>
    <row r="32" spans="2:13">
      <c r="G32" s="35"/>
    </row>
  </sheetData>
  <sheetProtection selectLockedCells="1" selectUnlockedCells="1"/>
  <phoneticPr fontId="4"/>
  <pageMargins left="0.78740157480314965" right="0.78740157480314965" top="0.78740157480314965" bottom="0.78740157480314965" header="0" footer="0"/>
  <pageSetup paperSize="9" scale="5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IF(AND(令和4年度契約状況調査票!#REF!&gt;=$P$5,OR(令和4年度契約状況調査票!#REF!=$M$5,令和4年度契約状況調査票!#REF!=$M$6)),令和4年度契約状況調査票!#REF!&gt;=$P$13)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documentManagement/types"/>
    <ds:schemaRef ds:uri="248ab0bc-7e59-4567-bd72-f8d7ec109bec"/>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3f91a21-fd60-4569-977f-9e7a8b68efa0"/>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令和4年度契約状況調査票</vt:lpstr>
      <vt:lpstr>別紙様式１</vt:lpstr>
      <vt:lpstr>契約状況コード表</vt:lpstr>
      <vt:lpstr>契約状況コード表!Print_Area</vt:lpstr>
      <vt:lpstr>別紙様式１!Print_Area</vt:lpstr>
      <vt:lpstr>令和4年度契約状況調査票!Print_Area</vt:lpstr>
      <vt:lpstr>令和4年度契約状況調査票!Print_Titles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