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0FED7D2-F675-447A-89EC-513CDCDEA1D1}" xr6:coauthVersionLast="36" xr6:coauthVersionMax="36" xr10:uidLastSave="{00000000-0000-0000-0000-000000000000}"/>
  <bookViews>
    <workbookView xWindow="0" yWindow="0" windowWidth="19200" windowHeight="7095"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別紙様式１!$A$5:$N$6</definedName>
    <definedName name="_xlnm._FilterDatabase" localSheetId="1" hidden="1">別紙様式２!$A$5:$O$6</definedName>
    <definedName name="_xlnm._FilterDatabase" localSheetId="2" hidden="1">別紙様式３!$A$5:$N$7</definedName>
    <definedName name="_xlnm._FilterDatabase" localSheetId="3" hidden="1">別紙様式４!$A$5:$O$7</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B7" i="6" l="1"/>
  <c r="M7" i="5" l="1"/>
  <c r="K7" i="5"/>
  <c r="P6" i="5"/>
  <c r="L7" i="5"/>
  <c r="H7" i="5"/>
  <c r="J7" i="5"/>
  <c r="I7" i="5"/>
  <c r="P7" i="5"/>
  <c r="G7" i="5"/>
  <c r="L7" i="6"/>
  <c r="M7" i="6"/>
  <c r="J7" i="6"/>
  <c r="I7" i="6"/>
  <c r="H7" i="6"/>
  <c r="N7" i="6"/>
  <c r="Q6" i="4"/>
  <c r="O6" i="3"/>
  <c r="P6" i="3"/>
  <c r="Q7" i="6"/>
  <c r="P6" i="4"/>
  <c r="Q6" i="6"/>
  <c r="P7" i="6"/>
  <c r="F7" i="6"/>
  <c r="D7" i="6"/>
  <c r="C7" i="6"/>
  <c r="G7" i="6"/>
  <c r="E7" i="6"/>
  <c r="E7" i="5"/>
  <c r="F7" i="5"/>
  <c r="C7" i="5"/>
  <c r="D7" i="5"/>
  <c r="B7" i="5"/>
  <c r="O7" i="6" l="1"/>
  <c r="P6" i="6" l="1"/>
  <c r="O6" i="5"/>
  <c r="O7" i="5" l="1"/>
  <c r="N7" i="5" s="1"/>
</calcChain>
</file>

<file path=xl/sharedStrings.xml><?xml version="1.0" encoding="utf-8"?>
<sst xmlns="http://schemas.openxmlformats.org/spreadsheetml/2006/main" count="112" uniqueCount="46">
  <si>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</si>
  <si>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</si>
  <si>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</si>
  <si>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</si>
  <si>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</si>
  <si>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</si>
  <si>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</si>
  <si>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</si>
  <si>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</si>
  <si>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</si>
  <si>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</si>
  <si>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</si>
  <si>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</si>
  <si>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</si>
  <si>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</si>
  <si>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</si>
  <si>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</si>
  <si>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</si>
  <si>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</si>
  <si>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</si>
  <si>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</si>
  <si>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</si>
  <si>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</si>
  <si>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</si>
  <si>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</si>
  <si>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</si>
  <si>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</si>
  <si>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</si>
  <si>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</si>
  <si>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</si>
  <si>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</si>
  <si>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</si>
  <si>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</si>
  <si>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</si>
  <si>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</si>
  <si>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</si>
  <si>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一般競争入札において入札者がいない又は再度の入札を実施しても、落札者となるべき者がいないことから、会計法第29条の３第５項及び予決令第99の２に該当するため。</t>
  </si>
  <si>
    <t>0</t>
    <phoneticPr fontId="3"/>
  </si>
  <si>
    <t>@38,665円ほか</t>
    <phoneticPr fontId="3"/>
  </si>
  <si>
    <t>令和６年度印刷機用消耗品の購入　RISO　FTインク　F（ブラック）22本ほか13品目</t>
  </si>
  <si>
    <t>支出負担行為担当官
税務大学校副校長
山縣　哲也
埼玉県和光市南２－３－７</t>
  </si>
  <si>
    <t>理想科学工業株式会社
東京都港区芝５－３４－７</t>
  </si>
  <si>
    <t>同種の他の契約の予定価格を類推されるおそれがあるため公表しない</t>
  </si>
  <si>
    <t>－</t>
  </si>
  <si>
    <t/>
  </si>
  <si>
    <t>単価契約
予定調達総額
4,533,188円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</si>
</sst>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1">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78"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78"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1" fontId="6" fillId="0" borderId="5" xfId="1" applyNumberFormat="1" applyFont="1" applyBorder="1" applyAlignment="1">
      <alignment horizontal="center" vertical="center" wrapText="1"/>
    </xf>
    <xf numFmtId="178" fontId="11"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80" fontId="6" fillId="0" borderId="5" xfId="3" applyNumberFormat="1" applyFont="1" applyFill="1" applyBorder="1" applyAlignment="1">
      <alignment horizontal="center" vertical="center" wrapText="1" shrinkToFit="1"/>
    </xf>
    <xf numFmtId="179" fontId="6" fillId="0" borderId="5" xfId="3" applyNumberFormat="1" applyFont="1" applyFill="1" applyBorder="1" applyAlignment="1">
      <alignment horizontal="center" vertical="center" wrapText="1" shrinkToFit="1"/>
    </xf>
    <xf numFmtId="179" fontId="6" fillId="0" borderId="5" xfId="7" applyNumberFormat="1" applyFont="1" applyFill="1" applyBorder="1" applyAlignment="1">
      <alignment horizontal="center" vertical="center" wrapText="1"/>
    </xf>
    <xf numFmtId="178"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6"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79" fontId="11" fillId="0" borderId="0" xfId="6" applyNumberFormat="1" applyFont="1">
      <alignment vertical="center"/>
    </xf>
    <xf numFmtId="178" fontId="11" fillId="0" borderId="0" xfId="6" applyNumberFormat="1" applyFont="1">
      <alignment vertical="center"/>
    </xf>
    <xf numFmtId="178" fontId="11" fillId="0" borderId="6" xfId="6" applyNumberFormat="1" applyFont="1" applyBorder="1" applyAlignment="1">
      <alignment horizontal="center" vertical="center" wrapText="1"/>
    </xf>
    <xf numFmtId="181"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78" fontId="11" fillId="0" borderId="2" xfId="6" applyNumberFormat="1" applyFont="1" applyBorder="1" applyAlignment="1">
      <alignment horizontal="center" vertical="center" wrapText="1"/>
    </xf>
    <xf numFmtId="177" fontId="6" fillId="0" borderId="5" xfId="1" applyNumberFormat="1" applyFont="1" applyBorder="1" applyAlignment="1">
      <alignment horizontal="center" vertical="center" wrapText="1"/>
    </xf>
    <xf numFmtId="180" fontId="6" fillId="0" borderId="5" xfId="3" quotePrefix="1" applyNumberFormat="1" applyFont="1" applyFill="1" applyBorder="1" applyAlignment="1">
      <alignment horizontal="center" vertical="center" wrapText="1" shrinkToFit="1"/>
    </xf>
    <xf numFmtId="0" fontId="6" fillId="0" borderId="5" xfId="7" quotePrefix="1" applyNumberFormat="1" applyFont="1" applyFill="1" applyBorder="1" applyAlignment="1">
      <alignment horizontal="center" vertical="center" wrapTex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79"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11" fillId="0" borderId="5" xfId="6" applyFont="1" applyFill="1" applyBorder="1" applyAlignment="1">
      <alignment horizontal="left"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showZeros="0" view="pageBreakPreview" topLeftCell="A4" zoomScale="85" zoomScaleNormal="100" zoomScaleSheetLayoutView="85" workbookViewId="0">
      <selection activeCell="C15" sqref="C15"/>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48"/>
      <c r="B1" s="51" t="s">
        <v>0</v>
      </c>
      <c r="C1" s="52"/>
      <c r="D1" s="52"/>
      <c r="E1" s="52"/>
      <c r="F1" s="52"/>
      <c r="G1" s="52"/>
      <c r="H1" s="52"/>
      <c r="I1" s="52"/>
      <c r="J1" s="52"/>
      <c r="K1" s="52"/>
      <c r="L1" s="52"/>
      <c r="M1" s="52"/>
      <c r="N1" s="52"/>
    </row>
    <row r="2" spans="1:16">
      <c r="A2" s="49"/>
    </row>
    <row r="3" spans="1:16">
      <c r="A3" s="49"/>
      <c r="B3" s="8"/>
      <c r="N3" s="9"/>
    </row>
    <row r="4" spans="1:16" ht="21.95" customHeight="1">
      <c r="A4" s="49"/>
      <c r="B4" s="46" t="s">
        <v>1</v>
      </c>
      <c r="C4" s="46" t="s">
        <v>2</v>
      </c>
      <c r="D4" s="46" t="s">
        <v>3</v>
      </c>
      <c r="E4" s="46" t="s">
        <v>4</v>
      </c>
      <c r="F4" s="53" t="s">
        <v>5</v>
      </c>
      <c r="G4" s="46" t="s">
        <v>6</v>
      </c>
      <c r="H4" s="55" t="s">
        <v>7</v>
      </c>
      <c r="I4" s="46" t="s">
        <v>8</v>
      </c>
      <c r="J4" s="46" t="s">
        <v>9</v>
      </c>
      <c r="K4" s="47" t="s">
        <v>10</v>
      </c>
      <c r="L4" s="47"/>
      <c r="M4" s="47"/>
      <c r="N4" s="53" t="s">
        <v>13</v>
      </c>
    </row>
    <row r="5" spans="1:16" s="12" customFormat="1" ht="36" customHeight="1">
      <c r="A5" s="50"/>
      <c r="B5" s="46"/>
      <c r="C5" s="46"/>
      <c r="D5" s="46"/>
      <c r="E5" s="46"/>
      <c r="F5" s="54"/>
      <c r="G5" s="46"/>
      <c r="H5" s="55"/>
      <c r="I5" s="46"/>
      <c r="J5" s="46"/>
      <c r="K5" s="10" t="s">
        <v>11</v>
      </c>
      <c r="L5" s="10" t="s">
        <v>35</v>
      </c>
      <c r="M5" s="11" t="s">
        <v>12</v>
      </c>
      <c r="N5" s="54"/>
    </row>
    <row r="6" spans="1:16" s="12" customFormat="1" ht="69.95" customHeight="1">
      <c r="A6" s="13"/>
      <c r="B6" s="14" t="s">
        <v>44</v>
      </c>
      <c r="C6" s="1" t="s">
        <v>44</v>
      </c>
      <c r="D6" s="15" t="s">
        <v>44</v>
      </c>
      <c r="E6" s="14" t="s">
        <v>44</v>
      </c>
      <c r="F6" s="16" t="s">
        <v>44</v>
      </c>
      <c r="G6" s="17" t="s">
        <v>44</v>
      </c>
      <c r="H6" s="18" t="s">
        <v>44</v>
      </c>
      <c r="I6" s="18" t="s">
        <v>44</v>
      </c>
      <c r="J6" s="19" t="s">
        <v>44</v>
      </c>
      <c r="K6" s="20" t="s">
        <v>44</v>
      </c>
      <c r="L6" s="20" t="s">
        <v>44</v>
      </c>
      <c r="M6" s="21" t="s">
        <v>44</v>
      </c>
      <c r="N6" s="22" t="s">
        <v>44</v>
      </c>
      <c r="O6" s="12" t="str">
        <f>IF(A6="","",VLOOKUP(A6,#REF!,55,FALSE))</f>
        <v/>
      </c>
      <c r="P6" s="12" t="str">
        <f>IF(A6="","",IF(VLOOKUP(A6,#REF!,16,FALSE)="他官署で調達手続きを実施のため","×",IF(VLOOKUP(A6,#REF!,23,FALSE)="②同種の他の契約の予定価格を類推されるおそれがあるため公表しない","×","○")))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showZeros="0" view="pageBreakPreview" zoomScale="85" zoomScaleNormal="100" zoomScaleSheetLayoutView="85" workbookViewId="0">
      <selection activeCell="B7" sqref="B7"/>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48"/>
      <c r="B1" s="51" t="s">
        <v>14</v>
      </c>
      <c r="C1" s="52"/>
      <c r="D1" s="52"/>
      <c r="E1" s="52"/>
      <c r="F1" s="52"/>
      <c r="G1" s="59"/>
      <c r="H1" s="52"/>
      <c r="I1" s="52"/>
      <c r="J1" s="52"/>
      <c r="K1" s="52"/>
      <c r="L1" s="52"/>
      <c r="M1" s="52"/>
      <c r="N1" s="52"/>
      <c r="O1" s="52"/>
    </row>
    <row r="2" spans="1:17">
      <c r="A2" s="49"/>
    </row>
    <row r="3" spans="1:17">
      <c r="A3" s="49"/>
      <c r="B3" s="27"/>
      <c r="C3" s="24"/>
      <c r="D3" s="24"/>
      <c r="E3" s="23"/>
      <c r="F3" s="23"/>
      <c r="G3" s="25"/>
      <c r="H3" s="26"/>
      <c r="I3" s="24"/>
      <c r="J3" s="41"/>
      <c r="K3" s="23"/>
      <c r="L3" s="23"/>
      <c r="M3" s="23"/>
      <c r="N3" s="36"/>
      <c r="O3" s="28"/>
      <c r="P3" s="23"/>
      <c r="Q3" s="23"/>
    </row>
    <row r="4" spans="1:17" ht="21.95" customHeight="1">
      <c r="A4" s="49"/>
      <c r="B4" s="46" t="s">
        <v>15</v>
      </c>
      <c r="C4" s="46" t="s">
        <v>16</v>
      </c>
      <c r="D4" s="46" t="s">
        <v>17</v>
      </c>
      <c r="E4" s="46" t="s">
        <v>18</v>
      </c>
      <c r="F4" s="53" t="s">
        <v>19</v>
      </c>
      <c r="G4" s="60" t="s">
        <v>20</v>
      </c>
      <c r="H4" s="55" t="s">
        <v>21</v>
      </c>
      <c r="I4" s="46" t="s">
        <v>22</v>
      </c>
      <c r="J4" s="56" t="s">
        <v>23</v>
      </c>
      <c r="K4" s="57" t="s">
        <v>24</v>
      </c>
      <c r="L4" s="58" t="s">
        <v>25</v>
      </c>
      <c r="M4" s="58"/>
      <c r="N4" s="58"/>
      <c r="O4" s="53" t="s">
        <v>27</v>
      </c>
      <c r="P4" s="23"/>
      <c r="Q4" s="23"/>
    </row>
    <row r="5" spans="1:17" s="12" customFormat="1" ht="37.5" customHeight="1">
      <c r="A5" s="50"/>
      <c r="B5" s="46"/>
      <c r="C5" s="46"/>
      <c r="D5" s="46"/>
      <c r="E5" s="46"/>
      <c r="F5" s="54"/>
      <c r="G5" s="60"/>
      <c r="H5" s="55"/>
      <c r="I5" s="46"/>
      <c r="J5" s="56"/>
      <c r="K5" s="57"/>
      <c r="L5" s="30" t="s">
        <v>26</v>
      </c>
      <c r="M5" s="30" t="s">
        <v>34</v>
      </c>
      <c r="N5" s="42" t="s">
        <v>12</v>
      </c>
      <c r="O5" s="54"/>
      <c r="P5" s="31"/>
      <c r="Q5" s="31"/>
    </row>
    <row r="6" spans="1:17" s="12" customFormat="1" ht="69.95" customHeight="1">
      <c r="A6" s="13"/>
      <c r="B6" s="14" t="s">
        <v>44</v>
      </c>
      <c r="C6" s="1" t="s">
        <v>44</v>
      </c>
      <c r="D6" s="43" t="s">
        <v>44</v>
      </c>
      <c r="E6" s="14" t="s">
        <v>44</v>
      </c>
      <c r="F6" s="16" t="s">
        <v>44</v>
      </c>
      <c r="G6" s="17" t="s">
        <v>44</v>
      </c>
      <c r="H6" s="18" t="s">
        <v>44</v>
      </c>
      <c r="I6" s="18" t="s">
        <v>44</v>
      </c>
      <c r="J6" s="20" t="s">
        <v>44</v>
      </c>
      <c r="K6" s="33"/>
      <c r="L6" s="20" t="s">
        <v>44</v>
      </c>
      <c r="M6" s="20" t="s">
        <v>44</v>
      </c>
      <c r="N6" s="21" t="s">
        <v>44</v>
      </c>
      <c r="O6" s="22" t="s">
        <v>44</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
  <sheetViews>
    <sheetView showZeros="0" view="pageBreakPreview" zoomScale="85" zoomScaleNormal="100" zoomScaleSheetLayoutView="85" workbookViewId="0">
      <selection activeCell="B8" sqref="B8"/>
    </sheetView>
  </sheetViews>
  <sheetFormatPr defaultColWidth="9" defaultRowHeight="11.2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5" width="11.25" style="23" customWidth="1"/>
    <col min="16" max="16384" width="9" style="23"/>
  </cols>
  <sheetData>
    <row r="1" spans="1:16" ht="27.75" customHeight="1">
      <c r="A1" s="64"/>
      <c r="B1" s="67" t="s">
        <v>28</v>
      </c>
      <c r="C1" s="68"/>
      <c r="D1" s="68"/>
      <c r="E1" s="68"/>
      <c r="F1" s="68"/>
      <c r="G1" s="68"/>
      <c r="H1" s="69"/>
      <c r="I1" s="68"/>
      <c r="J1" s="68"/>
      <c r="K1" s="68"/>
      <c r="L1" s="68"/>
      <c r="M1" s="68"/>
      <c r="N1" s="68"/>
    </row>
    <row r="2" spans="1:16">
      <c r="A2" s="65"/>
    </row>
    <row r="3" spans="1:16">
      <c r="A3" s="65"/>
      <c r="B3" s="27"/>
      <c r="N3" s="28"/>
    </row>
    <row r="4" spans="1:16" ht="21.95" customHeight="1">
      <c r="A4" s="65"/>
      <c r="B4" s="46" t="s">
        <v>29</v>
      </c>
      <c r="C4" s="46" t="s">
        <v>16</v>
      </c>
      <c r="D4" s="46" t="s">
        <v>17</v>
      </c>
      <c r="E4" s="46" t="s">
        <v>18</v>
      </c>
      <c r="F4" s="53" t="s">
        <v>19</v>
      </c>
      <c r="G4" s="46" t="s">
        <v>30</v>
      </c>
      <c r="H4" s="55" t="s">
        <v>21</v>
      </c>
      <c r="I4" s="46" t="s">
        <v>22</v>
      </c>
      <c r="J4" s="61" t="s">
        <v>23</v>
      </c>
      <c r="K4" s="62" t="s">
        <v>31</v>
      </c>
      <c r="L4" s="63"/>
      <c r="M4" s="63"/>
      <c r="N4" s="53" t="s">
        <v>32</v>
      </c>
    </row>
    <row r="5" spans="1:16" s="31" customFormat="1" ht="36.75" customHeight="1">
      <c r="A5" s="66"/>
      <c r="B5" s="46"/>
      <c r="C5" s="46"/>
      <c r="D5" s="46"/>
      <c r="E5" s="46"/>
      <c r="F5" s="54"/>
      <c r="G5" s="46"/>
      <c r="H5" s="55"/>
      <c r="I5" s="46"/>
      <c r="J5" s="61"/>
      <c r="K5" s="30" t="s">
        <v>26</v>
      </c>
      <c r="L5" s="30" t="s">
        <v>34</v>
      </c>
      <c r="M5" s="37" t="s">
        <v>12</v>
      </c>
      <c r="N5" s="54"/>
    </row>
    <row r="6" spans="1:16" s="31" customFormat="1" ht="69.95" customHeight="1">
      <c r="A6" s="30"/>
      <c r="B6" s="14" t="s">
        <v>44</v>
      </c>
      <c r="C6" s="1" t="s">
        <v>44</v>
      </c>
      <c r="D6" s="38" t="s">
        <v>44</v>
      </c>
      <c r="E6" s="14" t="s">
        <v>44</v>
      </c>
      <c r="F6" s="16" t="s">
        <v>44</v>
      </c>
      <c r="G6" s="17" t="s">
        <v>44</v>
      </c>
      <c r="H6" s="18" t="s">
        <v>44</v>
      </c>
      <c r="I6" s="18" t="s">
        <v>44</v>
      </c>
      <c r="J6" s="19" t="s">
        <v>44</v>
      </c>
      <c r="K6" s="20" t="s">
        <v>44</v>
      </c>
      <c r="L6" s="20" t="s">
        <v>44</v>
      </c>
      <c r="M6" s="21" t="s">
        <v>44</v>
      </c>
      <c r="N6" s="22" t="s">
        <v>44</v>
      </c>
      <c r="O6" s="31" t="str">
        <f>IF(A6="","",VLOOKUP(A6,#REF!,53,FALSE))</f>
        <v/>
      </c>
      <c r="P6" s="31" t="str">
        <f>IF(A6="","",IF(VLOOKUP(A6,#REF!,14,FALSE)="他官署で調達手続きを実施のため","×",IF(VLOOKUP(A6,#REF!,21,FALSE)="②同種の他の契約の予定価格を類推されるおそれがあるため公表しない","×","○")))</f>
        <v/>
      </c>
    </row>
    <row r="7" spans="1:16" s="31" customFormat="1" ht="69.95" customHeight="1">
      <c r="A7" s="30"/>
      <c r="B7" s="14" t="str">
        <f>IF(A7="","",VLOOKUP(A7,#REF!,5,FALSE))</f>
        <v/>
      </c>
      <c r="C7" s="1" t="str">
        <f>IF(A7="","",VLOOKUP(A7,#REF!,6,FALSE))</f>
        <v/>
      </c>
      <c r="D7" s="38" t="str">
        <f>IF(A7="","",VLOOKUP(A7,#REF!,9,FALSE))</f>
        <v/>
      </c>
      <c r="E7" s="14" t="str">
        <f>IF(A7="","",VLOOKUP(A7,#REF!,10,FALSE))</f>
        <v/>
      </c>
      <c r="F7" s="16" t="str">
        <f>IF(A7="","",VLOOKUP(A7,#REF!,11,FALSE))</f>
        <v/>
      </c>
      <c r="G7" s="17" t="str">
        <f>IF(A7="","",IF(VLOOKUP(A7,#REF!,14,FALSE)="②一般競争入札（総合評価方式）","一般競争入札"&amp;CHAR(10)&amp;"（総合評価方式）","一般競争入札"))</f>
        <v/>
      </c>
      <c r="H7" s="18"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7,FALSE)&lt;&gt;"",TEXT(VLOOKUP(A7,#REF!,16,FALSE),"#,##0円")&amp;CHAR(10)&amp;"(A)",VLOOKUP(A7,#REF!,16,FALSE))))))</f>
        <v/>
      </c>
      <c r="I7" s="18" t="str">
        <f>IF(A7="","",VLOOKUP(A7,#REF!,17,FALSE))</f>
        <v/>
      </c>
      <c r="J7" s="19" t="str">
        <f>IF(A7="","",IF(VLOOKUP(A7,#REF!,16,FALSE)="他官署で調達手続きを実施のため","－",IF(VLOOKUP(A7,#REF!,23,FALSE)="②同種の他の契約の予定価格を類推されるおそれがあるため公表しない","－",IF(VLOOKUP(A7,#REF!,23,FALSE)="－","－",IF(VLOOKUP(A7,#REF!,7,FALSE)&lt;&gt;"",TEXT(VLOOKUP(A7,#REF!,19,FALSE),"#.0%")&amp;CHAR(10)&amp;"(B/A×100)",VLOOKUP(A7,#REF!,19,FALSE))))))</f>
        <v/>
      </c>
      <c r="K7" s="20" t="str">
        <f>IF(A7="","",IF(VLOOKUP(A7,#REF!,12,FALSE)="①公益社団法人","公社",IF(VLOOKUP(A7,#REF!,12,FALSE)="②公益財団法人","公財","")))</f>
        <v/>
      </c>
      <c r="L7" s="20" t="str">
        <f>IF(A7="","",VLOOKUP(A7,#REF!,13,FALSE))</f>
        <v/>
      </c>
      <c r="M7" s="21" t="str">
        <f>IF(A7="","",IF(VLOOKUP(A7,#REF!,13,FALSE)="国所管",VLOOKUP(A7,#REF!,24,FALSE),""))</f>
        <v/>
      </c>
      <c r="N7" s="22" t="str">
        <f>IF(A7="","",IF(AND(P7="○",O7="分担契約/単価契約"),"単価契約"&amp;CHAR(10)&amp;"予定調達総額 "&amp;TEXT(VLOOKUP(A7,#REF!,16,FALSE),"#,##0円")&amp;"(B)"&amp;CHAR(10)&amp;"分担契約"&amp;CHAR(10)&amp;VLOOKUP(A7,#REF!,32,FALSE),IF(AND(P7="○",O7="分担契約"),"分担契約"&amp;CHAR(10)&amp;"契約総額 "&amp;TEXT(VLOOKUP(A7,#REF!,16,FALSE),"#,##0円")&amp;"(B)"&amp;CHAR(10)&amp;VLOOKUP(A7,#REF!,32,FALSE),(IF(O7="分担契約/単価契約","単価契約"&amp;CHAR(10)&amp;"予定調達総額 "&amp;TEXT(VLOOKUP(A7,#REF!,16,FALSE),"#,##0円")&amp;CHAR(10)&amp;"分担契約"&amp;CHAR(10)&amp;VLOOKUP(A7,#REF!,32,FALSE),IF(O7="分担契約","分担契約"&amp;CHAR(10)&amp;"契約総額 "&amp;TEXT(VLOOKUP(A7,#REF!,16,FALSE),"#,##0円")&amp;CHAR(10)&amp;VLOOKUP(A7,#REF!,32,FALSE),IF(O7="単価契約","単価契約"&amp;CHAR(10)&amp;"予定調達総額 "&amp;TEXT(VLOOKUP(A7,#REF!,16,FALSE),"#,##0円")&amp;CHAR(10)&amp;VLOOKUP(A7,#REF!,32,FALSE),VLOOKUP(A7,#REF!,32,FALSE))))))))</f>
        <v/>
      </c>
      <c r="O7" s="31" t="str">
        <f>IF(A7="","",VLOOKUP(A7,#REF!,53,FALSE))</f>
        <v/>
      </c>
      <c r="P7" s="31" t="str">
        <f>IF(A7="","",IF(VLOOKUP(A7,#REF!,14,FALSE)="他官署で調達手続きを実施のため","×",IF(VLOOKUP(A7,#REF!,21,FALSE)="②同種の他の契約の予定価格を類推されるおそれがあるため公表しない","×","○")))</f>
        <v/>
      </c>
    </row>
    <row r="8" spans="1:16" ht="69.95" customHeight="1"/>
    <row r="9" spans="1:16" ht="69.95" customHeight="1"/>
    <row r="10"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00000000-0002-0000-0300-000000000000}"/>
    <dataValidation imeMode="halfAlpha" allowBlank="1" showInputMessage="1" showErrorMessage="1" errorTitle="参考" error="半角数字で入力して下さい。" promptTitle="入力方法" prompt="半角数字で入力して下さい。" sqref="H6:J7"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
  <sheetViews>
    <sheetView showZeros="0" tabSelected="1" view="pageBreakPreview" topLeftCell="C1" zoomScale="85" zoomScaleNormal="100" zoomScaleSheetLayoutView="85" workbookViewId="0">
      <selection activeCell="K9" sqref="K9"/>
    </sheetView>
  </sheetViews>
  <sheetFormatPr defaultColWidth="9" defaultRowHeight="11.2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c r="A1" s="64"/>
      <c r="B1" s="51" t="s">
        <v>33</v>
      </c>
      <c r="C1" s="52"/>
      <c r="D1" s="52"/>
      <c r="E1" s="52"/>
      <c r="F1" s="52"/>
      <c r="G1" s="59"/>
      <c r="H1" s="52"/>
      <c r="I1" s="52"/>
      <c r="J1" s="52"/>
      <c r="K1" s="52"/>
      <c r="L1" s="52"/>
      <c r="M1" s="52"/>
      <c r="N1" s="52"/>
      <c r="O1" s="52"/>
    </row>
    <row r="2" spans="1:17">
      <c r="A2" s="65"/>
    </row>
    <row r="3" spans="1:17">
      <c r="A3" s="65"/>
      <c r="B3" s="27"/>
      <c r="O3" s="28"/>
    </row>
    <row r="4" spans="1:17" ht="21.95" customHeight="1">
      <c r="A4" s="65"/>
      <c r="B4" s="46" t="s">
        <v>29</v>
      </c>
      <c r="C4" s="46" t="s">
        <v>16</v>
      </c>
      <c r="D4" s="46" t="s">
        <v>17</v>
      </c>
      <c r="E4" s="46" t="s">
        <v>18</v>
      </c>
      <c r="F4" s="53" t="s">
        <v>19</v>
      </c>
      <c r="G4" s="60" t="s">
        <v>20</v>
      </c>
      <c r="H4" s="55" t="s">
        <v>21</v>
      </c>
      <c r="I4" s="46" t="s">
        <v>22</v>
      </c>
      <c r="J4" s="46" t="s">
        <v>23</v>
      </c>
      <c r="K4" s="57" t="s">
        <v>24</v>
      </c>
      <c r="L4" s="58" t="s">
        <v>25</v>
      </c>
      <c r="M4" s="58"/>
      <c r="N4" s="58"/>
      <c r="O4" s="29"/>
    </row>
    <row r="5" spans="1:17" s="31" customFormat="1" ht="36" customHeight="1">
      <c r="A5" s="66"/>
      <c r="B5" s="46"/>
      <c r="C5" s="46"/>
      <c r="D5" s="46"/>
      <c r="E5" s="46"/>
      <c r="F5" s="54"/>
      <c r="G5" s="60"/>
      <c r="H5" s="55"/>
      <c r="I5" s="46"/>
      <c r="J5" s="46"/>
      <c r="K5" s="57"/>
      <c r="L5" s="30" t="s">
        <v>26</v>
      </c>
      <c r="M5" s="30" t="s">
        <v>34</v>
      </c>
      <c r="N5" s="30" t="s">
        <v>12</v>
      </c>
      <c r="O5" s="30" t="s">
        <v>27</v>
      </c>
    </row>
    <row r="6" spans="1:17" s="31" customFormat="1" ht="95.25" customHeight="1">
      <c r="A6" s="30"/>
      <c r="B6" s="14" t="s">
        <v>39</v>
      </c>
      <c r="C6" s="1" t="s">
        <v>40</v>
      </c>
      <c r="D6" s="15">
        <v>45481</v>
      </c>
      <c r="E6" s="14" t="s">
        <v>41</v>
      </c>
      <c r="F6" s="16">
        <v>9010401031452</v>
      </c>
      <c r="G6" s="32" t="s">
        <v>36</v>
      </c>
      <c r="H6" s="18" t="s">
        <v>42</v>
      </c>
      <c r="I6" s="44" t="s">
        <v>38</v>
      </c>
      <c r="J6" s="20" t="s">
        <v>43</v>
      </c>
      <c r="K6" s="45" t="s">
        <v>37</v>
      </c>
      <c r="L6" s="20" t="s">
        <v>44</v>
      </c>
      <c r="M6" s="20">
        <v>0</v>
      </c>
      <c r="N6" s="33" t="s">
        <v>44</v>
      </c>
      <c r="O6" s="70" t="s">
        <v>45</v>
      </c>
      <c r="P6" s="31" t="str">
        <f>IF(A6="","",VLOOKUP(A6,#REF!,52,FALSE))</f>
        <v/>
      </c>
      <c r="Q6" s="31" t="str">
        <f>IF(A6="","",IF(VLOOKUP(A6,#REF!,13,FALSE)="他官署で調達手続きを実施のため","×",IF(VLOOKUP(A6,#REF!,20,FALSE)="②同種の他の契約の予定価格を類推されるおそれがあるため公表しない","×","○")))</f>
        <v/>
      </c>
    </row>
    <row r="7" spans="1:17" s="31" customFormat="1" ht="90.75" customHeight="1">
      <c r="A7" s="30"/>
      <c r="B7" s="14" t="str">
        <f>IF(A7="","",VLOOKUP(A7,#REF!,4,FALSE))</f>
        <v/>
      </c>
      <c r="C7" s="1" t="str">
        <f>IF(A7="","",VLOOKUP(A7,#REF!,5,FALSE))</f>
        <v/>
      </c>
      <c r="D7" s="15" t="str">
        <f>IF(A7="","",VLOOKUP(A7,#REF!,8,FALSE))</f>
        <v/>
      </c>
      <c r="E7" s="14" t="str">
        <f>IF(A7="","",VLOOKUP(A7,#REF!,9,FALSE))</f>
        <v/>
      </c>
      <c r="F7" s="16" t="str">
        <f>IF(A7="","",VLOOKUP(A7,#REF!,10,FALSE))</f>
        <v/>
      </c>
      <c r="G7" s="32" t="str">
        <f>IF(A7="","",VLOOKUP(A7,#REF!,30,FALSE))</f>
        <v/>
      </c>
      <c r="H7" s="18" t="str">
        <f>IF(A7="","",IF(VLOOKUP(A7,#REF!,15,FALSE)="他官署で調達手続きを実施のため","他官署で調達手続きを実施のため",IF(VLOOKUP(A7,#REF!,22,FALSE)="②同種の他の契約の予定価格を類推されるおそれがあるため公表しない","同種の他の契約の予定価格を類推されるおそれがあるため公表しない",IF(VLOOKUP(A7,#REF!,22,FALSE)="－","－",IF(VLOOKUP(A7,#REF!,6,FALSE)&lt;&gt;"",TEXT(VLOOKUP(A7,#REF!,15,FALSE),"#,##0円")&amp;CHAR(10)&amp;"(A)",VLOOKUP(A7,#REF!,15,FALSE))))))</f>
        <v/>
      </c>
      <c r="I7" s="18" t="str">
        <f>IF(A7="","",VLOOKUP(A7,#REF!,16,FALSE))</f>
        <v/>
      </c>
      <c r="J7" s="20" t="str">
        <f>IF(A7="","",IF(VLOOKUP(A7,#REF!,15,FALSE)="他官署で調達手続きを実施のため","－",IF(VLOOKUP(A7,#REF!,22,FALSE)="②同種の他の契約の予定価格を類推されるおそれがあるため公表しない","－",IF(VLOOKUP(A7,#REF!,22,FALSE)="－","－",IF(VLOOKUP(A7,#REF!,6,FALSE)&lt;&gt;"",TEXT(VLOOKUP(A7,#REF!,18,FALSE),"#.0%")&amp;CHAR(10)&amp;"(B/A×100)",VLOOKUP(A7,#REF!,18,FALSE))))))</f>
        <v/>
      </c>
      <c r="K7" s="45"/>
      <c r="L7" s="20" t="str">
        <f>IF(A7="","",IF(VLOOKUP(A7,#REF!,11,FALSE)="①公益社団法人","公社",IF(VLOOKUP(A7,#REF!,11,FALSE)="②公益財団法人","公財","")))</f>
        <v/>
      </c>
      <c r="M7" s="20" t="str">
        <f>IF(A7="","",VLOOKUP(A7,#REF!,12,FALSE))</f>
        <v/>
      </c>
      <c r="N7" s="33" t="str">
        <f>IF(A7="","",IF(VLOOKUP(A7,#REF!,12,FALSE)="国所管",VLOOKUP(A7,#REF!,23,FALSE),""))</f>
        <v/>
      </c>
      <c r="O7" s="22" t="str">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
      </c>
      <c r="P7" s="31" t="str">
        <f>IF(A7="","",VLOOKUP(A7,#REF!,52,FALSE))</f>
        <v/>
      </c>
      <c r="Q7" s="31" t="str">
        <f>IF(A7="","",IF(VLOOKUP(A7,#REF!,13,FALSE)="他官署で調達手続きを実施のため","×",IF(VLOOKUP(A7,#REF!,20,FALSE)="②同種の他の契約の予定価格を類推されるおそれがあるため公表しない","×","○")))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7" xr:uid="{00000000-0002-0000-0400-000000000000}"/>
    <dataValidation imeMode="halfAlpha" allowBlank="1" showInputMessage="1" showErrorMessage="1" errorTitle="参考" error="半角数字で入力して下さい。" promptTitle="入力方法" prompt="半角数字で入力して下さい。" sqref="H6:I7"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documentManagement/types"/>
    <ds:schemaRef ds:uri="http://purl.org/dc/dcmitype/"/>
    <ds:schemaRef ds:uri="http://www.w3.org/XML/1998/namespace"/>
    <ds:schemaRef ds:uri="http://purl.org/dc/elements/1.1/"/>
    <ds:schemaRef ds:uri="83f91a21-fd60-4569-977f-9e7a8b68efa0"/>
    <ds:schemaRef ds:uri="http://schemas.openxmlformats.org/package/2006/metadata/core-properties"/>
    <ds:schemaRef ds:uri="248ab0bc-7e59-4567-bd72-f8d7ec109bec"/>
    <ds:schemaRef ds:uri="http://purl.org/dc/terms/"/>
    <ds:schemaRef ds:uri="http://schemas.microsoft.com/office/infopath/2007/PartnerControls"/>
    <ds:schemaRef ds:uri="b5471033-25ca-41e4-b4f9-0c69817a7d9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