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tabRatio="914"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<sst xmlns="http://schemas.openxmlformats.org/spreadsheetml/2006/main" count="514" uniqueCount="234">
  <si>
    <t>７　消　費　税</t>
  </si>
  <si>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</si>
  <si>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</si>
  <si>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</si>
  <si>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</si>
  <si>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</si>
  <si>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</si>
  <si>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</si>
  <si>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</si>
  <si>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</si>
  <si>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</si>
  <si>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</si>
  <si>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</si>
  <si>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</si>
  <si>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</si>
  <si>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</si>
  <si>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</si>
  <si>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</si>
  <si>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</si>
  <si>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</si>
  <si>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</si>
  <si>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</si>
  <si>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</si>
  <si>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</si>
  <si>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</si>
  <si>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</si>
  <si>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</si>
  <si>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</si>
  <si>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</si>
  <si>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</si>
  <si>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</si>
  <si>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</si>
  <si>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</si>
  <si>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</si>
  <si>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</si>
  <si>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</si>
  <si>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</si>
  <si>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</si>
  <si>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</si>
  <si>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</si>
  <si>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</si>
  <si>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</si>
  <si>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</si>
  <si>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</si>
  <si>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</si>
  <si>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</si>
  <si>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</si>
  <si>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</si>
  <si>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</si>
  <si>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</si>
  <si>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</si>
  <si>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</si>
  <si>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</si>
  <si>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</si>
  <si>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</si>
  <si>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</si>
  <si>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</si>
  <si>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</si>
  <si>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</si>
  <si>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</si>
  <si>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</si>
  <si>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</si>
  <si>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</si>
  <si>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</si>
  <si>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</si>
  <si>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</si>
  <si>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</si>
  <si>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</si>
  <si>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</si>
  <si>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</si>
  <si>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</si>
  <si>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</si>
  <si>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</si>
  <si>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</si>
  <si>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</si>
  <si>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</si>
  <si>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</si>
  <si>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</si>
  <si>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</si>
  <si>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</si>
  <si>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</si>
  <si>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</si>
  <si>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</si>
  <si>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</si>
  <si>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</si>
  <si>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</si>
  <si>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</si>
  <si>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</si>
  <si>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</si>
  <si>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</si>
  <si>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</si>
  <si>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</si>
  <si>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</si>
  <si>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</si>
  <si>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</si>
  <si>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</si>
  <si>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</si>
  <si>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</si>
  <si>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</si>
  <si>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</si>
  <si>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</si>
  <si>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</si>
  <si>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</si>
  <si>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</si>
  <si>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</si>
  <si>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</si>
  <si>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</si>
  <si>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</si>
  <si>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</si>
  <si>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</si>
  <si>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</si>
  <si>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</si>
  <si>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</si>
  <si>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</si>
  <si>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</si>
  <si>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</si>
  <si>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</si>
  <si>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</si>
  <si>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</si>
  <si>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</si>
  <si>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</si>
  <si>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</si>
  <si>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</si>
  <si>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</si>
  <si>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</si>
  <si>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</si>
  <si>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</si>
  <si>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</si>
  <si>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</si>
  <si>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</si>
  <si>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</si>
  <si>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</si>
  <si>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</si>
  <si>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</si>
  <si>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</si>
  <si>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</si>
  <si>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</si>
  <si>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</si>
  <si>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</si>
  <si>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</si>
  <si>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</si>
  <si>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</si>
  <si>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</si>
  <si>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</si>
  <si>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</si>
  <si>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</si>
  <si>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</si>
  <si>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</si>
  <si>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</si>
  <si>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</si>
  <si>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</si>
  <si>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</si>
  <si>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</si>
  <si>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</si>
  <si>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</si>
  <si>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</si>
  <si>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</si>
  <si>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</si>
  <si>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</si>
  <si>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税関分は含まない。</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</si>
  <si>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</si>
  <si>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</si>
  <si>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</si>
  <si>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</si>
  <si>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</si>
  <si>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</si>
  <si>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</si>
  <si>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</si>
  <si>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</si>
  <si>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</si>
  <si>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</si>
  <si>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</si>
  <si>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</si>
  <si>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</si>
  <si>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</si>
  <si>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</si>
  <si>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</si>
  <si>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</si>
  <si>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</si>
  <si>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</si>
  <si>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</si>
  <si>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</si>
  <si>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</si>
  <si>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</si>
  <si>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</si>
  <si>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</si>
  <si>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</si>
  <si>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</si>
  <si>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</si>
  <si>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</si>
  <si>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</si>
  <si>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</si>
  <si>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</si>
  <si>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</si>
  <si>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</si>
  <si>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</si>
  <si>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</si>
  <si>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</si>
  <si>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</si>
  <si>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</si>
  <si>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</si>
  <si>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</si>
  <si>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</si>
  <si>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</si>
  <si>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</si>
  <si>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</si>
  <si>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</si>
  <si>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</si>
  <si>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</si>
  <si>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</si>
  <si>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</si>
  <si>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</si>
  <si>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</si>
  <si>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</si>
  <si>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</si>
  <si>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</si>
  <si>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</si>
  <si>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</si>
  <si>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</si>
  <si>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</si>
  <si>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</si>
  <si>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平成28年度</t>
  </si>
  <si>
    <t>平成29年度</t>
  </si>
  <si>
    <t>平成30年度</t>
  </si>
  <si>
    <t>令和元年度</t>
  </si>
  <si>
    <t>　（注）</t>
  </si>
  <si>
    <t>個　人　事　業　者</t>
  </si>
  <si>
    <t>法　　　　　人</t>
  </si>
  <si>
    <t>合　　　　　計</t>
  </si>
  <si>
    <t>令和２年度</t>
  </si>
  <si>
    <t>調査対象等：令和２年度末（令和３年３月31日現在）の届出件数を示している。</t>
  </si>
  <si>
    <t>調査対象等：</t>
  </si>
  <si>
    <t xml:space="preserve">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t>
  </si>
  <si>
    <t xml:space="preserve">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</si>
</sst>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6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0"/>
      <color indexed="8"/>
      <name val="ＭＳ 明朝"/>
      <family val="1"/>
    </font>
    <font>
      <sz val="10"/>
      <color indexed="8"/>
      <name val="ＭＳ ゴシック"/>
      <family val="3"/>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10"/>
      <color theme="1"/>
      <name val="ＭＳ 明朝"/>
      <family val="1"/>
    </font>
    <font>
      <sz val="10"/>
      <color theme="1"/>
      <name val="ＭＳ ゴシック"/>
      <family val="3"/>
    </font>
    <font>
      <b/>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color indexed="63"/>
      </top>
      <bottom style="medium"/>
    </border>
    <border>
      <left style="hair"/>
      <right/>
      <top/>
      <bottom style="mediu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hair">
        <color rgb="FF969696"/>
      </top>
      <bottom>
        <color indexed="63"/>
      </bottom>
    </border>
    <border>
      <left style="thin"/>
      <right style="hair"/>
      <top style="hair">
        <color rgb="FF969696"/>
      </top>
      <bottom>
        <color indexed="63"/>
      </bottom>
    </border>
    <border>
      <left style="hair"/>
      <right style="thin"/>
      <top style="hair">
        <color rgb="FF969696"/>
      </top>
      <bottom>
        <color indexed="63"/>
      </bottom>
    </border>
    <border>
      <left style="hair"/>
      <right/>
      <top style="hair">
        <color rgb="FF969696"/>
      </top>
      <bottom>
        <color indexed="63"/>
      </bottom>
    </border>
    <border>
      <left style="thin"/>
      <right style="medium"/>
      <top style="hair">
        <color rgb="FF969696"/>
      </top>
      <bottom>
        <color indexed="63"/>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color indexed="63"/>
      </top>
      <bottom style="double"/>
    </border>
    <border>
      <left style="thin"/>
      <right style="hair"/>
      <top>
        <color indexed="63"/>
      </top>
      <bottom style="double"/>
    </border>
    <border>
      <left style="medium"/>
      <right/>
      <top style="thin">
        <color theme="0" tint="-0.3499799966812134"/>
      </top>
      <bottom style="thin">
        <color rgb="FF969696"/>
      </bottom>
    </border>
    <border>
      <left style="thin"/>
      <right style="hair"/>
      <top style="thin">
        <color theme="0" tint="-0.3499799966812134"/>
      </top>
      <bottom style="thin">
        <color rgb="FF969696"/>
      </bottom>
    </border>
    <border>
      <left style="hair"/>
      <right style="thin"/>
      <top style="thin">
        <color theme="0" tint="-0.3499799966812134"/>
      </top>
      <bottom style="thin">
        <color rgb="FF969696"/>
      </bottom>
    </border>
    <border>
      <left style="hair"/>
      <right/>
      <top style="thin">
        <color theme="0" tint="-0.3499799966812134"/>
      </top>
      <bottom style="thin">
        <color rgb="FF969696"/>
      </bottom>
    </border>
    <border>
      <left style="thin"/>
      <right style="medium"/>
      <top style="thin">
        <color theme="0" tint="-0.3499799966812134"/>
      </top>
      <bottom style="thin">
        <color rgb="FF969696"/>
      </bottom>
    </border>
    <border>
      <left style="thin"/>
      <right/>
      <top>
        <color indexed="63"/>
      </top>
      <bottom style="double"/>
    </border>
    <border>
      <left style="thin"/>
      <right style="medium"/>
      <top/>
      <bottom/>
    </border>
    <border>
      <left style="hair"/>
      <right style="hair"/>
      <top>
        <color indexed="63"/>
      </top>
      <bottom style="hair">
        <color rgb="FF969696"/>
      </bottom>
    </border>
    <border>
      <left style="thin"/>
      <right style="hair"/>
      <top>
        <color indexed="63"/>
      </top>
      <bottom>
        <color indexed="63"/>
      </bottom>
    </border>
    <border>
      <left style="hair"/>
      <right style="hair"/>
      <top>
        <color indexed="63"/>
      </top>
      <bottom>
        <color indexed="63"/>
      </bottom>
    </border>
    <border>
      <left style="hair"/>
      <right/>
      <top/>
      <bottom>
        <color indexed="63"/>
      </bottom>
    </border>
    <border>
      <left style="hair"/>
      <right style="hair"/>
      <top style="thin">
        <color theme="0" tint="-0.3499799966812134"/>
      </top>
      <bottom style="thin">
        <color theme="0" tint="-0.3499799966812134"/>
      </bottom>
    </border>
    <border>
      <left style="hair"/>
      <right style="hair"/>
      <top style="hair">
        <color rgb="FF969696"/>
      </top>
      <bottom>
        <color indexed="63"/>
      </bottom>
    </border>
    <border>
      <left style="hair"/>
      <right style="hair"/>
      <top style="hair">
        <color rgb="FF969696"/>
      </top>
      <bottom style="hair">
        <color rgb="FF969696"/>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30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0"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1"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5"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6" xfId="61" applyFont="1" applyBorder="1" applyAlignment="1">
      <alignment horizontal="distributed" vertical="center" indent="1"/>
      <protection/>
    </xf>
    <xf numFmtId="0" fontId="10" fillId="0" borderId="37"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38" xfId="61" applyFont="1" applyFill="1" applyBorder="1" applyAlignment="1">
      <alignment horizontal="right" vertical="top"/>
      <protection/>
    </xf>
    <xf numFmtId="0" fontId="7" fillId="35" borderId="34"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39" xfId="61" applyFont="1" applyFill="1" applyBorder="1" applyAlignment="1">
      <alignment horizontal="distributed" vertical="center"/>
      <protection/>
    </xf>
    <xf numFmtId="0" fontId="10" fillId="35" borderId="40" xfId="61" applyFont="1" applyFill="1" applyBorder="1" applyAlignment="1">
      <alignment horizontal="distributed" vertical="center"/>
      <protection/>
    </xf>
    <xf numFmtId="0" fontId="9" fillId="0" borderId="0" xfId="61" applyFont="1" applyBorder="1">
      <alignment/>
      <protection/>
    </xf>
    <xf numFmtId="0" fontId="10" fillId="35" borderId="41" xfId="61" applyFont="1" applyFill="1" applyBorder="1" applyAlignment="1">
      <alignment horizontal="distributed" vertical="center"/>
      <protection/>
    </xf>
    <xf numFmtId="0" fontId="10" fillId="35" borderId="42" xfId="61" applyFont="1" applyFill="1" applyBorder="1" applyAlignment="1">
      <alignment horizontal="distributed" vertical="center"/>
      <protection/>
    </xf>
    <xf numFmtId="0" fontId="12" fillId="0" borderId="43" xfId="61" applyFont="1" applyFill="1" applyBorder="1" applyAlignment="1">
      <alignment horizontal="distributed" vertical="center"/>
      <protection/>
    </xf>
    <xf numFmtId="0" fontId="12" fillId="0" borderId="44" xfId="61" applyFont="1" applyFill="1" applyBorder="1" applyAlignment="1">
      <alignment horizontal="center"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29"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6" xfId="61" applyFont="1" applyFill="1" applyBorder="1" applyAlignment="1">
      <alignment horizontal="right" vertical="top"/>
      <protection/>
    </xf>
    <xf numFmtId="0" fontId="10" fillId="36" borderId="38" xfId="61" applyFont="1" applyFill="1" applyBorder="1" applyAlignment="1">
      <alignment horizontal="right" vertical="top"/>
      <protection/>
    </xf>
    <xf numFmtId="0" fontId="10" fillId="35" borderId="34" xfId="61" applyFont="1" applyFill="1" applyBorder="1" applyAlignment="1">
      <alignment horizontal="distributed" vertical="top"/>
      <protection/>
    </xf>
    <xf numFmtId="0" fontId="13" fillId="0" borderId="0" xfId="61" applyFont="1" applyBorder="1" applyAlignment="1">
      <alignment vertical="top"/>
      <protection/>
    </xf>
    <xf numFmtId="0" fontId="14" fillId="35" borderId="39" xfId="61" applyFont="1" applyFill="1" applyBorder="1" applyAlignment="1">
      <alignment horizontal="distributed" vertical="center" shrinkToFit="1"/>
      <protection/>
    </xf>
    <xf numFmtId="0" fontId="14" fillId="35" borderId="40" xfId="61" applyFont="1" applyFill="1" applyBorder="1" applyAlignment="1">
      <alignment horizontal="distributed" vertical="center" shrinkToFit="1"/>
      <protection/>
    </xf>
    <xf numFmtId="0" fontId="14" fillId="35" borderId="41" xfId="61" applyFont="1" applyFill="1" applyBorder="1" applyAlignment="1">
      <alignment horizontal="distributed" vertical="center" shrinkToFit="1"/>
      <protection/>
    </xf>
    <xf numFmtId="0" fontId="14" fillId="35" borderId="42" xfId="61" applyFont="1" applyFill="1" applyBorder="1" applyAlignment="1">
      <alignment horizontal="distributed" vertical="center" shrinkToFit="1"/>
      <protection/>
    </xf>
    <xf numFmtId="0" fontId="10" fillId="35" borderId="39" xfId="61" applyFont="1" applyFill="1" applyBorder="1" applyAlignment="1">
      <alignment horizontal="distributed" vertical="center" shrinkToFit="1"/>
      <protection/>
    </xf>
    <xf numFmtId="0" fontId="10" fillId="35" borderId="42" xfId="61" applyFont="1" applyFill="1" applyBorder="1" applyAlignment="1">
      <alignment horizontal="distributed" vertical="center" shrinkToFit="1"/>
      <protection/>
    </xf>
    <xf numFmtId="0" fontId="15" fillId="0" borderId="43" xfId="61" applyFont="1" applyFill="1" applyBorder="1" applyAlignment="1">
      <alignment horizontal="distributed" vertical="center" shrinkToFit="1"/>
      <protection/>
    </xf>
    <xf numFmtId="0" fontId="11" fillId="0" borderId="45" xfId="61" applyFont="1" applyBorder="1" applyAlignment="1">
      <alignment horizontal="center" vertical="center" shrinkToFit="1"/>
      <protection/>
    </xf>
    <xf numFmtId="0" fontId="11" fillId="0" borderId="47" xfId="61" applyFont="1" applyBorder="1" applyAlignment="1">
      <alignment horizontal="center" vertical="center" shrinkToFit="1"/>
      <protection/>
    </xf>
    <xf numFmtId="0" fontId="10" fillId="0" borderId="48" xfId="61" applyFont="1" applyBorder="1" applyAlignment="1">
      <alignment vertical="center"/>
      <protection/>
    </xf>
    <xf numFmtId="0" fontId="10" fillId="0" borderId="36" xfId="61" applyFont="1" applyBorder="1" applyAlignment="1">
      <alignment horizontal="distributed" vertical="center" wrapText="1" indent="1"/>
      <protection/>
    </xf>
    <xf numFmtId="0" fontId="10" fillId="0" borderId="36"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5" xfId="0" applyNumberFormat="1" applyFont="1" applyFill="1" applyBorder="1" applyAlignment="1">
      <alignment vertical="center"/>
    </xf>
    <xf numFmtId="3" fontId="2" fillId="34"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177" fontId="14" fillId="36" borderId="59" xfId="61" applyNumberFormat="1" applyFont="1" applyFill="1" applyBorder="1" applyAlignment="1">
      <alignment horizontal="right" vertical="center" shrinkToFit="1"/>
      <protection/>
    </xf>
    <xf numFmtId="177" fontId="14" fillId="37" borderId="60" xfId="61" applyNumberFormat="1" applyFont="1" applyFill="1" applyBorder="1" applyAlignment="1">
      <alignment horizontal="right" vertical="center" shrinkToFit="1"/>
      <protection/>
    </xf>
    <xf numFmtId="177" fontId="14" fillId="37" borderId="61" xfId="61" applyNumberFormat="1" applyFont="1" applyFill="1" applyBorder="1" applyAlignment="1">
      <alignment horizontal="right" vertical="center" shrinkToFit="1"/>
      <protection/>
    </xf>
    <xf numFmtId="177" fontId="14" fillId="36" borderId="62" xfId="61" applyNumberFormat="1" applyFont="1" applyFill="1" applyBorder="1" applyAlignment="1">
      <alignment horizontal="right" vertical="center" shrinkToFit="1"/>
      <protection/>
    </xf>
    <xf numFmtId="177" fontId="14" fillId="37" borderId="63" xfId="61" applyNumberFormat="1" applyFont="1" applyFill="1" applyBorder="1" applyAlignment="1">
      <alignment horizontal="right" vertical="center" shrinkToFit="1"/>
      <protection/>
    </xf>
    <xf numFmtId="177" fontId="14" fillId="37" borderId="64" xfId="61" applyNumberFormat="1" applyFont="1" applyFill="1" applyBorder="1" applyAlignment="1">
      <alignment horizontal="right" vertical="center" shrinkToFit="1"/>
      <protection/>
    </xf>
    <xf numFmtId="177" fontId="11" fillId="36" borderId="65" xfId="61" applyNumberFormat="1" applyFont="1" applyFill="1" applyBorder="1" applyAlignment="1">
      <alignment horizontal="right" vertical="center" shrinkToFit="1"/>
      <protection/>
    </xf>
    <xf numFmtId="177" fontId="11" fillId="37" borderId="57" xfId="61" applyNumberFormat="1" applyFont="1" applyFill="1" applyBorder="1" applyAlignment="1">
      <alignment horizontal="right" vertical="center" shrinkToFit="1"/>
      <protection/>
    </xf>
    <xf numFmtId="177" fontId="11" fillId="37" borderId="66"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59" xfId="61" applyNumberFormat="1" applyFont="1" applyFill="1" applyBorder="1" applyAlignment="1">
      <alignment horizontal="right" vertical="center"/>
      <protection/>
    </xf>
    <xf numFmtId="177" fontId="10" fillId="37" borderId="60" xfId="61" applyNumberFormat="1" applyFont="1" applyFill="1" applyBorder="1" applyAlignment="1">
      <alignment horizontal="right" vertical="center"/>
      <protection/>
    </xf>
    <xf numFmtId="177" fontId="10" fillId="37" borderId="61" xfId="61" applyNumberFormat="1" applyFont="1" applyFill="1" applyBorder="1" applyAlignment="1">
      <alignment horizontal="right" vertical="center"/>
      <protection/>
    </xf>
    <xf numFmtId="177" fontId="10" fillId="36" borderId="62" xfId="61" applyNumberFormat="1" applyFont="1" applyFill="1" applyBorder="1" applyAlignment="1">
      <alignment horizontal="right" vertical="center"/>
      <protection/>
    </xf>
    <xf numFmtId="177" fontId="10" fillId="37" borderId="63"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shrinkToFit="1"/>
      <protection/>
    </xf>
    <xf numFmtId="177" fontId="12" fillId="0" borderId="67" xfId="61" applyNumberFormat="1" applyFont="1" applyFill="1" applyBorder="1" applyAlignment="1">
      <alignment horizontal="right" vertical="center"/>
      <protection/>
    </xf>
    <xf numFmtId="177" fontId="12" fillId="0" borderId="68" xfId="61" applyNumberFormat="1" applyFont="1" applyFill="1" applyBorder="1" applyAlignment="1">
      <alignment horizontal="right" vertical="center"/>
      <protection/>
    </xf>
    <xf numFmtId="177" fontId="12" fillId="0" borderId="69" xfId="61" applyNumberFormat="1" applyFont="1" applyFill="1" applyBorder="1" applyAlignment="1">
      <alignment horizontal="right" vertical="center"/>
      <protection/>
    </xf>
    <xf numFmtId="177" fontId="11" fillId="36" borderId="65" xfId="61" applyNumberFormat="1" applyFont="1" applyFill="1" applyBorder="1" applyAlignment="1">
      <alignment horizontal="right" vertical="center"/>
      <protection/>
    </xf>
    <xf numFmtId="177" fontId="11" fillId="37" borderId="57" xfId="61" applyNumberFormat="1" applyFont="1" applyFill="1" applyBorder="1" applyAlignment="1">
      <alignment horizontal="right" vertical="center"/>
      <protection/>
    </xf>
    <xf numFmtId="177" fontId="11" fillId="37" borderId="6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70"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10" fillId="0" borderId="72" xfId="61" applyFont="1" applyBorder="1" applyAlignment="1">
      <alignment horizontal="centerContinuous" vertical="center" wrapText="1"/>
      <protection/>
    </xf>
    <xf numFmtId="0" fontId="10" fillId="0" borderId="73" xfId="61" applyFont="1" applyBorder="1" applyAlignment="1">
      <alignment horizontal="centerContinuous" vertical="center" wrapText="1"/>
      <protection/>
    </xf>
    <xf numFmtId="0" fontId="10" fillId="0" borderId="74" xfId="61" applyFont="1" applyBorder="1" applyAlignment="1">
      <alignment horizontal="centerContinuous" vertical="center" wrapText="1"/>
      <protection/>
    </xf>
    <xf numFmtId="3" fontId="2" fillId="34" borderId="75" xfId="0" applyNumberFormat="1" applyFont="1" applyFill="1" applyBorder="1" applyAlignment="1">
      <alignment vertical="center"/>
    </xf>
    <xf numFmtId="3" fontId="2" fillId="34" borderId="76" xfId="0" applyNumberFormat="1" applyFont="1" applyFill="1" applyBorder="1" applyAlignment="1">
      <alignment vertical="center"/>
    </xf>
    <xf numFmtId="3" fontId="2" fillId="34" borderId="77" xfId="0" applyNumberFormat="1" applyFont="1" applyFill="1" applyBorder="1" applyAlignment="1">
      <alignment vertical="center"/>
    </xf>
    <xf numFmtId="3" fontId="2" fillId="34" borderId="46" xfId="0" applyNumberFormat="1" applyFont="1" applyFill="1" applyBorder="1" applyAlignment="1">
      <alignment vertical="center"/>
    </xf>
    <xf numFmtId="0" fontId="10" fillId="35" borderId="78" xfId="61" applyFont="1" applyFill="1" applyBorder="1" applyAlignment="1">
      <alignment horizontal="distributed" vertical="center"/>
      <protection/>
    </xf>
    <xf numFmtId="177" fontId="10" fillId="36" borderId="79" xfId="61" applyNumberFormat="1" applyFont="1" applyFill="1" applyBorder="1" applyAlignment="1">
      <alignment horizontal="right" vertical="center"/>
      <protection/>
    </xf>
    <xf numFmtId="177" fontId="10" fillId="37" borderId="80" xfId="61" applyNumberFormat="1" applyFont="1" applyFill="1" applyBorder="1" applyAlignment="1">
      <alignment horizontal="right" vertical="center"/>
      <protection/>
    </xf>
    <xf numFmtId="177" fontId="10" fillId="37" borderId="81" xfId="61" applyNumberFormat="1" applyFont="1" applyFill="1" applyBorder="1" applyAlignment="1">
      <alignment horizontal="right" vertical="center"/>
      <protection/>
    </xf>
    <xf numFmtId="0" fontId="10" fillId="35" borderId="82" xfId="61" applyFont="1" applyFill="1" applyBorder="1" applyAlignment="1">
      <alignment horizontal="distributed" vertical="center"/>
      <protection/>
    </xf>
    <xf numFmtId="0" fontId="11" fillId="35" borderId="83" xfId="61" applyFont="1" applyFill="1" applyBorder="1" applyAlignment="1">
      <alignment horizontal="distributed" vertical="center"/>
      <protection/>
    </xf>
    <xf numFmtId="177" fontId="11" fillId="36" borderId="84" xfId="61" applyNumberFormat="1" applyFont="1" applyFill="1" applyBorder="1" applyAlignment="1">
      <alignment horizontal="right" vertical="center"/>
      <protection/>
    </xf>
    <xf numFmtId="177" fontId="11" fillId="37" borderId="85" xfId="61" applyNumberFormat="1" applyFont="1" applyFill="1" applyBorder="1" applyAlignment="1">
      <alignment horizontal="right" vertical="center"/>
      <protection/>
    </xf>
    <xf numFmtId="177" fontId="11" fillId="37" borderId="86" xfId="61" applyNumberFormat="1" applyFont="1" applyFill="1" applyBorder="1" applyAlignment="1">
      <alignment horizontal="right" vertical="center"/>
      <protection/>
    </xf>
    <xf numFmtId="0" fontId="11" fillId="35" borderId="87" xfId="61" applyFont="1" applyFill="1" applyBorder="1" applyAlignment="1">
      <alignment horizontal="distributed" vertical="center"/>
      <protection/>
    </xf>
    <xf numFmtId="0" fontId="12" fillId="0" borderId="83" xfId="61" applyFont="1" applyFill="1" applyBorder="1" applyAlignment="1">
      <alignment horizontal="distributed" vertical="center"/>
      <protection/>
    </xf>
    <xf numFmtId="177" fontId="12" fillId="0" borderId="88"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0" fontId="12" fillId="0" borderId="87" xfId="61" applyFont="1" applyFill="1" applyBorder="1" applyAlignment="1">
      <alignment horizontal="center" vertical="center"/>
      <protection/>
    </xf>
    <xf numFmtId="177" fontId="12" fillId="0" borderId="89" xfId="61" applyNumberFormat="1" applyFont="1" applyFill="1" applyBorder="1" applyAlignment="1">
      <alignment horizontal="right" vertical="center"/>
      <protection/>
    </xf>
    <xf numFmtId="177" fontId="12" fillId="0" borderId="90" xfId="61" applyNumberFormat="1" applyFont="1" applyFill="1" applyBorder="1" applyAlignment="1">
      <alignment horizontal="right" vertical="center"/>
      <protection/>
    </xf>
    <xf numFmtId="0" fontId="11" fillId="35" borderId="91" xfId="61" applyFont="1" applyFill="1" applyBorder="1" applyAlignment="1">
      <alignment horizontal="distributed" vertical="center"/>
      <protection/>
    </xf>
    <xf numFmtId="177" fontId="11" fillId="36" borderId="92" xfId="61" applyNumberFormat="1" applyFont="1" applyFill="1" applyBorder="1" applyAlignment="1">
      <alignment horizontal="right" vertical="center"/>
      <protection/>
    </xf>
    <xf numFmtId="177" fontId="11" fillId="37" borderId="93" xfId="61" applyNumberFormat="1" applyFont="1" applyFill="1" applyBorder="1" applyAlignment="1">
      <alignment horizontal="right" vertical="center"/>
      <protection/>
    </xf>
    <xf numFmtId="177" fontId="11" fillId="37" borderId="94" xfId="61" applyNumberFormat="1" applyFont="1" applyFill="1" applyBorder="1" applyAlignment="1">
      <alignment horizontal="right" vertical="center"/>
      <protection/>
    </xf>
    <xf numFmtId="0" fontId="11" fillId="35" borderId="95" xfId="61" applyFont="1" applyFill="1" applyBorder="1" applyAlignment="1">
      <alignment horizontal="distributed" vertical="center"/>
      <protection/>
    </xf>
    <xf numFmtId="0" fontId="14" fillId="35" borderId="78" xfId="61" applyFont="1" applyFill="1" applyBorder="1" applyAlignment="1">
      <alignment horizontal="distributed" vertical="center" shrinkToFit="1"/>
      <protection/>
    </xf>
    <xf numFmtId="177" fontId="14" fillId="36" borderId="79" xfId="61" applyNumberFormat="1" applyFont="1" applyFill="1" applyBorder="1" applyAlignment="1">
      <alignment horizontal="right" vertical="center" shrinkToFit="1"/>
      <protection/>
    </xf>
    <xf numFmtId="177" fontId="14" fillId="37" borderId="80" xfId="61" applyNumberFormat="1" applyFont="1" applyFill="1" applyBorder="1" applyAlignment="1">
      <alignment horizontal="right" vertical="center" shrinkToFit="1"/>
      <protection/>
    </xf>
    <xf numFmtId="177" fontId="14" fillId="37" borderId="81" xfId="61" applyNumberFormat="1" applyFont="1" applyFill="1" applyBorder="1" applyAlignment="1">
      <alignment horizontal="right" vertical="center" shrinkToFit="1"/>
      <protection/>
    </xf>
    <xf numFmtId="0" fontId="14" fillId="35" borderId="82" xfId="61" applyFont="1" applyFill="1" applyBorder="1" applyAlignment="1">
      <alignment horizontal="distributed" vertical="center" shrinkToFit="1"/>
      <protection/>
    </xf>
    <xf numFmtId="0" fontId="9" fillId="35" borderId="83" xfId="61" applyFont="1" applyFill="1" applyBorder="1" applyAlignment="1">
      <alignment horizontal="distributed" vertical="center" shrinkToFit="1"/>
      <protection/>
    </xf>
    <xf numFmtId="177" fontId="9" fillId="36" borderId="84" xfId="61" applyNumberFormat="1" applyFont="1" applyFill="1" applyBorder="1" applyAlignment="1">
      <alignment horizontal="right" vertical="center" shrinkToFit="1"/>
      <protection/>
    </xf>
    <xf numFmtId="177" fontId="9" fillId="37" borderId="85" xfId="61" applyNumberFormat="1" applyFont="1" applyFill="1" applyBorder="1" applyAlignment="1">
      <alignment horizontal="right" vertical="center" shrinkToFit="1"/>
      <protection/>
    </xf>
    <xf numFmtId="177" fontId="9" fillId="37" borderId="86" xfId="61" applyNumberFormat="1" applyFont="1" applyFill="1" applyBorder="1" applyAlignment="1">
      <alignment horizontal="right" vertical="center" shrinkToFit="1"/>
      <protection/>
    </xf>
    <xf numFmtId="0" fontId="9" fillId="35" borderId="87" xfId="61" applyFont="1" applyFill="1" applyBorder="1" applyAlignment="1">
      <alignment horizontal="distributed" vertical="center" shrinkToFit="1"/>
      <protection/>
    </xf>
    <xf numFmtId="0" fontId="15" fillId="0" borderId="83" xfId="61" applyFont="1" applyFill="1" applyBorder="1" applyAlignment="1">
      <alignment horizontal="distributed" vertical="center" shrinkToFit="1"/>
      <protection/>
    </xf>
    <xf numFmtId="177" fontId="15" fillId="0" borderId="88"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0" fontId="15" fillId="0" borderId="87" xfId="61" applyFont="1" applyFill="1" applyBorder="1" applyAlignment="1">
      <alignment horizontal="center" vertical="center" shrinkToFit="1"/>
      <protection/>
    </xf>
    <xf numFmtId="177" fontId="15" fillId="0" borderId="96" xfId="61" applyNumberFormat="1" applyFont="1" applyFill="1" applyBorder="1" applyAlignment="1">
      <alignment horizontal="right" vertical="center" shrinkToFit="1"/>
      <protection/>
    </xf>
    <xf numFmtId="177" fontId="15" fillId="0" borderId="89"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3" fontId="55" fillId="34" borderId="49" xfId="0" applyNumberFormat="1" applyFont="1" applyFill="1" applyBorder="1" applyAlignment="1">
      <alignment horizontal="right" vertical="center"/>
    </xf>
    <xf numFmtId="3" fontId="55" fillId="34" borderId="50" xfId="0" applyNumberFormat="1" applyFont="1" applyFill="1" applyBorder="1" applyAlignment="1">
      <alignment horizontal="right" vertical="center"/>
    </xf>
    <xf numFmtId="3" fontId="56" fillId="34" borderId="50" xfId="0" applyNumberFormat="1" applyFont="1" applyFill="1" applyBorder="1" applyAlignment="1">
      <alignment horizontal="right" vertical="center"/>
    </xf>
    <xf numFmtId="3" fontId="55" fillId="34" borderId="52" xfId="0" applyNumberFormat="1" applyFont="1" applyFill="1" applyBorder="1" applyAlignment="1">
      <alignment horizontal="right" vertical="center"/>
    </xf>
    <xf numFmtId="3" fontId="55" fillId="34" borderId="22" xfId="0" applyNumberFormat="1" applyFont="1" applyFill="1" applyBorder="1" applyAlignment="1">
      <alignment horizontal="right" vertical="center"/>
    </xf>
    <xf numFmtId="3" fontId="55" fillId="34" borderId="70" xfId="0" applyNumberFormat="1" applyFont="1" applyFill="1" applyBorder="1" applyAlignment="1">
      <alignment horizontal="right" vertical="center"/>
    </xf>
    <xf numFmtId="177" fontId="57" fillId="37" borderId="60" xfId="61" applyNumberFormat="1" applyFont="1" applyFill="1" applyBorder="1" applyAlignment="1">
      <alignment horizontal="right" vertical="center"/>
      <protection/>
    </xf>
    <xf numFmtId="177" fontId="57" fillId="36" borderId="59" xfId="61" applyNumberFormat="1" applyFont="1" applyFill="1" applyBorder="1" applyAlignment="1">
      <alignment horizontal="right" vertical="center"/>
      <protection/>
    </xf>
    <xf numFmtId="177" fontId="57" fillId="37" borderId="61" xfId="61" applyNumberFormat="1" applyFont="1" applyFill="1" applyBorder="1" applyAlignment="1">
      <alignment horizontal="right" vertical="center"/>
      <protection/>
    </xf>
    <xf numFmtId="177" fontId="57" fillId="37" borderId="63" xfId="61" applyNumberFormat="1" applyFont="1" applyFill="1" applyBorder="1" applyAlignment="1">
      <alignment horizontal="right" vertical="center"/>
      <protection/>
    </xf>
    <xf numFmtId="177" fontId="57" fillId="36" borderId="62" xfId="61" applyNumberFormat="1" applyFont="1" applyFill="1" applyBorder="1" applyAlignment="1">
      <alignment horizontal="right" vertical="center"/>
      <protection/>
    </xf>
    <xf numFmtId="177" fontId="57" fillId="37" borderId="64" xfId="61" applyNumberFormat="1" applyFont="1" applyFill="1" applyBorder="1" applyAlignment="1">
      <alignment horizontal="right" vertical="center"/>
      <protection/>
    </xf>
    <xf numFmtId="177" fontId="57" fillId="37" borderId="80" xfId="61" applyNumberFormat="1" applyFont="1" applyFill="1" applyBorder="1" applyAlignment="1">
      <alignment horizontal="right" vertical="center"/>
      <protection/>
    </xf>
    <xf numFmtId="177" fontId="57" fillId="36" borderId="79" xfId="61" applyNumberFormat="1" applyFont="1" applyFill="1" applyBorder="1" applyAlignment="1">
      <alignment horizontal="right" vertical="center"/>
      <protection/>
    </xf>
    <xf numFmtId="177" fontId="57" fillId="37" borderId="81" xfId="61" applyNumberFormat="1" applyFont="1" applyFill="1" applyBorder="1" applyAlignment="1">
      <alignment horizontal="right" vertical="center"/>
      <protection/>
    </xf>
    <xf numFmtId="177" fontId="58" fillId="36" borderId="84" xfId="61" applyNumberFormat="1" applyFont="1" applyFill="1" applyBorder="1" applyAlignment="1">
      <alignment horizontal="right" vertical="center"/>
      <protection/>
    </xf>
    <xf numFmtId="177" fontId="58" fillId="37" borderId="85" xfId="61" applyNumberFormat="1" applyFont="1" applyFill="1" applyBorder="1" applyAlignment="1">
      <alignment horizontal="right" vertical="center"/>
      <protection/>
    </xf>
    <xf numFmtId="177" fontId="58" fillId="37" borderId="86" xfId="61" applyNumberFormat="1" applyFont="1" applyFill="1" applyBorder="1" applyAlignment="1">
      <alignment horizontal="right" vertical="center"/>
      <protection/>
    </xf>
    <xf numFmtId="177" fontId="59" fillId="0" borderId="89" xfId="61" applyNumberFormat="1" applyFont="1" applyFill="1" applyBorder="1" applyAlignment="1">
      <alignment horizontal="right" vertical="center"/>
      <protection/>
    </xf>
    <xf numFmtId="177" fontId="59" fillId="0" borderId="96" xfId="61" applyNumberFormat="1" applyFont="1" applyFill="1" applyBorder="1" applyAlignment="1">
      <alignment horizontal="right" vertical="center"/>
      <protection/>
    </xf>
    <xf numFmtId="177" fontId="59" fillId="0" borderId="90" xfId="61" applyNumberFormat="1" applyFont="1" applyFill="1" applyBorder="1" applyAlignment="1">
      <alignment horizontal="right" vertical="center"/>
      <protection/>
    </xf>
    <xf numFmtId="177" fontId="58" fillId="37" borderId="57" xfId="61" applyNumberFormat="1" applyFont="1" applyFill="1" applyBorder="1" applyAlignment="1">
      <alignment horizontal="right" vertical="center"/>
      <protection/>
    </xf>
    <xf numFmtId="177" fontId="58" fillId="36" borderId="65" xfId="61" applyNumberFormat="1" applyFont="1" applyFill="1" applyBorder="1" applyAlignment="1">
      <alignment horizontal="right" vertical="center"/>
      <protection/>
    </xf>
    <xf numFmtId="177" fontId="58" fillId="37" borderId="66" xfId="61" applyNumberFormat="1" applyFont="1" applyFill="1" applyBorder="1" applyAlignment="1">
      <alignment horizontal="right" vertical="center"/>
      <protection/>
    </xf>
    <xf numFmtId="41" fontId="14" fillId="36" borderId="59" xfId="61" applyNumberFormat="1" applyFont="1" applyFill="1" applyBorder="1" applyAlignment="1">
      <alignment horizontal="right" vertical="center" shrinkToFit="1"/>
      <protection/>
    </xf>
    <xf numFmtId="41" fontId="14" fillId="36" borderId="98" xfId="61" applyNumberFormat="1" applyFont="1" applyFill="1" applyBorder="1" applyAlignment="1">
      <alignment horizontal="right" vertical="center" shrinkToFit="1"/>
      <protection/>
    </xf>
    <xf numFmtId="41" fontId="14" fillId="36" borderId="61" xfId="61" applyNumberFormat="1" applyFont="1" applyFill="1" applyBorder="1" applyAlignment="1">
      <alignment horizontal="right" vertical="center" shrinkToFit="1"/>
      <protection/>
    </xf>
    <xf numFmtId="41" fontId="14" fillId="36" borderId="99" xfId="61" applyNumberFormat="1" applyFont="1" applyFill="1" applyBorder="1" applyAlignment="1">
      <alignment horizontal="right" vertical="center" shrinkToFit="1"/>
      <protection/>
    </xf>
    <xf numFmtId="41" fontId="14" fillId="36" borderId="100" xfId="61" applyNumberFormat="1" applyFont="1" applyFill="1" applyBorder="1" applyAlignment="1">
      <alignment horizontal="right" vertical="center" shrinkToFit="1"/>
      <protection/>
    </xf>
    <xf numFmtId="41" fontId="14" fillId="36" borderId="101" xfId="61" applyNumberFormat="1" applyFont="1" applyFill="1" applyBorder="1" applyAlignment="1">
      <alignment horizontal="right" vertical="center" shrinkToFit="1"/>
      <protection/>
    </xf>
    <xf numFmtId="41" fontId="9" fillId="36" borderId="84" xfId="61" applyNumberFormat="1" applyFont="1" applyFill="1" applyBorder="1" applyAlignment="1">
      <alignment horizontal="right" vertical="center" shrinkToFit="1"/>
      <protection/>
    </xf>
    <xf numFmtId="41" fontId="9" fillId="36" borderId="102" xfId="61" applyNumberFormat="1" applyFont="1" applyFill="1" applyBorder="1" applyAlignment="1">
      <alignment horizontal="right" vertical="center" shrinkToFit="1"/>
      <protection/>
    </xf>
    <xf numFmtId="41" fontId="9" fillId="36" borderId="86" xfId="61" applyNumberFormat="1" applyFont="1" applyFill="1" applyBorder="1" applyAlignment="1">
      <alignment horizontal="right" vertical="center" shrinkToFit="1"/>
      <protection/>
    </xf>
    <xf numFmtId="41" fontId="14" fillId="0" borderId="84" xfId="61" applyNumberFormat="1" applyFont="1" applyFill="1" applyBorder="1" applyAlignment="1">
      <alignment horizontal="right" vertical="center" shrinkToFit="1"/>
      <protection/>
    </xf>
    <xf numFmtId="41" fontId="14" fillId="0" borderId="102" xfId="61" applyNumberFormat="1" applyFont="1" applyFill="1" applyBorder="1" applyAlignment="1">
      <alignment horizontal="right" vertical="center" shrinkToFit="1"/>
      <protection/>
    </xf>
    <xf numFmtId="41" fontId="14" fillId="0" borderId="86" xfId="61" applyNumberFormat="1" applyFont="1" applyFill="1" applyBorder="1" applyAlignment="1">
      <alignment horizontal="right" vertical="center" shrinkToFit="1"/>
      <protection/>
    </xf>
    <xf numFmtId="41" fontId="14" fillId="36" borderId="79" xfId="61" applyNumberFormat="1" applyFont="1" applyFill="1" applyBorder="1" applyAlignment="1">
      <alignment horizontal="right" vertical="center" shrinkToFit="1"/>
      <protection/>
    </xf>
    <xf numFmtId="41" fontId="14" fillId="36" borderId="103" xfId="61" applyNumberFormat="1" applyFont="1" applyFill="1" applyBorder="1" applyAlignment="1">
      <alignment horizontal="right" vertical="center" shrinkToFit="1"/>
      <protection/>
    </xf>
    <xf numFmtId="41" fontId="14" fillId="36" borderId="81" xfId="61" applyNumberFormat="1" applyFont="1" applyFill="1" applyBorder="1" applyAlignment="1">
      <alignment horizontal="right" vertical="center" shrinkToFit="1"/>
      <protection/>
    </xf>
    <xf numFmtId="41" fontId="14" fillId="36" borderId="62" xfId="61" applyNumberFormat="1" applyFont="1" applyFill="1" applyBorder="1" applyAlignment="1">
      <alignment horizontal="right" vertical="center" shrinkToFit="1"/>
      <protection/>
    </xf>
    <xf numFmtId="41" fontId="14" fillId="36" borderId="104" xfId="61" applyNumberFormat="1" applyFont="1" applyFill="1" applyBorder="1" applyAlignment="1">
      <alignment horizontal="right" vertical="center" shrinkToFit="1"/>
      <protection/>
    </xf>
    <xf numFmtId="41" fontId="14" fillId="36" borderId="64" xfId="61" applyNumberFormat="1" applyFont="1" applyFill="1" applyBorder="1" applyAlignment="1">
      <alignment horizontal="right" vertical="center" shrinkToFit="1"/>
      <protection/>
    </xf>
    <xf numFmtId="41" fontId="14" fillId="0" borderId="99" xfId="61" applyNumberFormat="1" applyFont="1" applyFill="1" applyBorder="1" applyAlignment="1">
      <alignment horizontal="right" vertical="center" shrinkToFit="1"/>
      <protection/>
    </xf>
    <xf numFmtId="41" fontId="14" fillId="0" borderId="100" xfId="61" applyNumberFormat="1" applyFont="1" applyFill="1" applyBorder="1" applyAlignment="1">
      <alignment horizontal="right" vertical="center" shrinkToFit="1"/>
      <protection/>
    </xf>
    <xf numFmtId="41" fontId="14" fillId="0" borderId="101" xfId="61" applyNumberFormat="1" applyFont="1" applyFill="1" applyBorder="1" applyAlignment="1">
      <alignment horizontal="right" vertical="center" shrinkToFit="1"/>
      <protection/>
    </xf>
    <xf numFmtId="41" fontId="11" fillId="36" borderId="105" xfId="61" applyNumberFormat="1" applyFont="1" applyFill="1" applyBorder="1" applyAlignment="1">
      <alignment horizontal="right" vertical="center" shrinkToFit="1"/>
      <protection/>
    </xf>
    <xf numFmtId="41" fontId="11" fillId="36" borderId="106" xfId="61" applyNumberFormat="1" applyFont="1" applyFill="1" applyBorder="1" applyAlignment="1">
      <alignment horizontal="right" vertical="center" shrinkToFit="1"/>
      <protection/>
    </xf>
    <xf numFmtId="41" fontId="11" fillId="36" borderId="107" xfId="61" applyNumberFormat="1" applyFont="1" applyFill="1" applyBorder="1" applyAlignment="1">
      <alignment horizontal="right" vertical="center" shrinkToFit="1"/>
      <protection/>
    </xf>
    <xf numFmtId="0" fontId="2" fillId="0" borderId="26" xfId="0" applyFont="1" applyBorder="1" applyAlignment="1">
      <alignment horizontal="center" vertical="center"/>
    </xf>
    <xf numFmtId="0" fontId="2" fillId="0" borderId="21" xfId="0" applyFont="1" applyBorder="1" applyAlignment="1">
      <alignment horizontal="distributed" vertical="center" wrapText="1"/>
    </xf>
    <xf numFmtId="3" fontId="2" fillId="34" borderId="108" xfId="0" applyNumberFormat="1" applyFont="1" applyFill="1" applyBorder="1" applyAlignment="1">
      <alignment horizontal="right" vertical="center"/>
    </xf>
    <xf numFmtId="3" fontId="2" fillId="34" borderId="108" xfId="0" applyNumberFormat="1" applyFont="1" applyFill="1" applyBorder="1" applyAlignment="1">
      <alignment vertical="center"/>
    </xf>
    <xf numFmtId="0" fontId="2" fillId="0" borderId="0" xfId="0" applyFont="1" applyAlignment="1">
      <alignment horizontal="right" vertical="top"/>
    </xf>
    <xf numFmtId="0" fontId="2" fillId="0" borderId="0" xfId="0" applyFont="1" applyBorder="1" applyAlignment="1">
      <alignment horizontal="left" vertical="top" wrapTex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wrapText="1"/>
    </xf>
    <xf numFmtId="0" fontId="2" fillId="0" borderId="114" xfId="0" applyFont="1" applyBorder="1" applyAlignment="1">
      <alignment horizontal="distributed" vertical="center"/>
    </xf>
    <xf numFmtId="0" fontId="2" fillId="0" borderId="45" xfId="0" applyFont="1" applyBorder="1" applyAlignment="1">
      <alignment horizontal="distributed" vertical="center"/>
    </xf>
    <xf numFmtId="0" fontId="2" fillId="0" borderId="115"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48"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0" xfId="61" applyFont="1" applyBorder="1" applyAlignment="1">
      <alignment horizontal="left" vertical="center"/>
      <protection/>
    </xf>
    <xf numFmtId="0" fontId="10" fillId="0" borderId="116" xfId="61" applyFont="1" applyBorder="1" applyAlignment="1">
      <alignment horizontal="distributed" vertical="center"/>
      <protection/>
    </xf>
    <xf numFmtId="0" fontId="10" fillId="0" borderId="118" xfId="61" applyFont="1" applyBorder="1" applyAlignment="1">
      <alignment horizontal="distributed" vertical="center"/>
      <protection/>
    </xf>
    <xf numFmtId="0" fontId="10" fillId="0" borderId="125" xfId="61" applyFont="1" applyBorder="1" applyAlignment="1">
      <alignment horizontal="distributed"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distributed" vertical="center" indent="1"/>
      <protection/>
    </xf>
    <xf numFmtId="0" fontId="10" fillId="0" borderId="128" xfId="61" applyFont="1" applyBorder="1" applyAlignment="1">
      <alignment horizontal="distributed" vertical="center" indent="1"/>
      <protection/>
    </xf>
    <xf numFmtId="0" fontId="10" fillId="0" borderId="129" xfId="61" applyFont="1" applyBorder="1" applyAlignment="1">
      <alignment horizontal="distributed" vertical="center" indent="1"/>
      <protection/>
    </xf>
    <xf numFmtId="0" fontId="10" fillId="0" borderId="130" xfId="61" applyFont="1" applyBorder="1" applyAlignment="1">
      <alignment horizontal="distributed" vertical="center" indent="1"/>
      <protection/>
    </xf>
    <xf numFmtId="0" fontId="10" fillId="0" borderId="127" xfId="61" applyFont="1" applyBorder="1" applyAlignment="1">
      <alignment horizontal="distributed" vertical="center" wrapText="1" indent="1"/>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35" xfId="61" applyFont="1" applyBorder="1" applyAlignment="1">
      <alignment horizontal="distributed" vertical="center" wrapText="1"/>
      <protection/>
    </xf>
    <xf numFmtId="0" fontId="10" fillId="0" borderId="97" xfId="61" applyFont="1" applyBorder="1" applyAlignment="1">
      <alignment horizontal="distributed" vertical="center" wrapText="1"/>
      <protection/>
    </xf>
    <xf numFmtId="0" fontId="10" fillId="0" borderId="131" xfId="61" applyFont="1" applyBorder="1" applyAlignment="1">
      <alignment horizontal="distributed" vertical="center" wrapText="1"/>
      <protection/>
    </xf>
    <xf numFmtId="0" fontId="10" fillId="0" borderId="132" xfId="61" applyFont="1" applyBorder="1" applyAlignment="1">
      <alignment horizontal="distributed" vertical="center" indent="1"/>
      <protection/>
    </xf>
    <xf numFmtId="0" fontId="10" fillId="0" borderId="133" xfId="61" applyFont="1" applyBorder="1" applyAlignment="1">
      <alignment horizontal="distributed" vertical="center" indent="1"/>
      <protection/>
    </xf>
    <xf numFmtId="0" fontId="10" fillId="0" borderId="133" xfId="61" applyFont="1" applyBorder="1" applyAlignment="1">
      <alignment horizontal="center" vertical="center"/>
      <protection/>
    </xf>
    <xf numFmtId="0" fontId="10" fillId="0" borderId="134" xfId="61" applyFont="1" applyBorder="1" applyAlignment="1">
      <alignment horizontal="left" vertical="center"/>
      <protection/>
    </xf>
    <xf numFmtId="0" fontId="10" fillId="0" borderId="126" xfId="61" applyFont="1" applyBorder="1" applyAlignment="1">
      <alignment horizontal="distributed" vertical="center" indent="1"/>
      <protection/>
    </xf>
    <xf numFmtId="0" fontId="10" fillId="0" borderId="126" xfId="61" applyFont="1" applyBorder="1" applyAlignment="1">
      <alignment horizontal="distributed" vertical="center" wrapText="1" indent="1"/>
      <protection/>
    </xf>
    <xf numFmtId="0" fontId="10" fillId="0" borderId="132"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distributed" vertical="center" wrapText="1"/>
      <protection/>
    </xf>
    <xf numFmtId="0" fontId="10" fillId="0" borderId="138" xfId="61" applyFont="1" applyBorder="1" applyAlignment="1">
      <alignment horizontal="distributed" vertical="center"/>
      <protection/>
    </xf>
    <xf numFmtId="0" fontId="10" fillId="0" borderId="139" xfId="61" applyFont="1" applyBorder="1" applyAlignment="1">
      <alignment horizontal="distributed" vertical="center" wrapText="1"/>
      <protection/>
    </xf>
    <xf numFmtId="0" fontId="10" fillId="0" borderId="140" xfId="61" applyFont="1" applyBorder="1" applyAlignment="1">
      <alignment horizontal="distributed" vertical="center"/>
      <protection/>
    </xf>
    <xf numFmtId="0" fontId="10" fillId="0" borderId="141" xfId="61" applyFont="1" applyBorder="1" applyAlignment="1">
      <alignment horizontal="distributed" vertical="center" wrapText="1"/>
      <protection/>
    </xf>
    <xf numFmtId="0" fontId="10" fillId="0" borderId="142" xfId="61" applyFont="1" applyBorder="1" applyAlignment="1">
      <alignment horizontal="distributed" vertical="center" wrapText="1"/>
      <protection/>
    </xf>
    <xf numFmtId="0" fontId="10" fillId="0" borderId="3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topLeftCell="A13">
      <selection activeCell="B16" sqref="B16:H16"/>
    </sheetView>
  </sheetViews>
  <sheetFormatPr defaultColWidth="5.875" defaultRowHeight="13.5"/>
  <cols>
    <col min="1" max="1" width="10.625" style="1" customWidth="1"/>
    <col min="2" max="2" width="16.00390625" style="1" customWidth="1"/>
    <col min="3" max="3" width="9.125" style="1" customWidth="1"/>
    <col min="4" max="4" width="9.75390625" style="1" customWidth="1"/>
    <col min="5" max="5" width="9.125" style="1" customWidth="1"/>
    <col min="6" max="6" width="11.375" style="1" customWidth="1"/>
    <col min="7" max="7" width="9.125" style="1" customWidth="1"/>
    <col min="8" max="8" width="11.375" style="1" bestFit="1" customWidth="1"/>
    <col min="9" max="16384" width="5.875" style="1" customWidth="1"/>
  </cols>
  <sheetData>
    <row r="1" spans="1:8" ht="15">
      <c r="A1" s="254" t="s">
        <v>0</v>
      </c>
      <c r="B1" s="254"/>
      <c r="C1" s="254"/>
      <c r="D1" s="254"/>
      <c r="E1" s="254"/>
      <c r="F1" s="254"/>
      <c r="G1" s="254"/>
      <c r="H1" s="254"/>
    </row>
    <row r="2" spans="1:8" ht="15">
      <c r="A2" s="43"/>
      <c r="B2" s="43"/>
      <c r="C2" s="43"/>
      <c r="D2" s="43"/>
      <c r="E2" s="43"/>
      <c r="F2" s="43"/>
      <c r="G2" s="43"/>
      <c r="H2" s="43"/>
    </row>
    <row r="3" spans="1:8" ht="11.25" thickBot="1">
      <c r="A3" s="255" t="s">
        <v>25</v>
      </c>
      <c r="B3" s="255"/>
      <c r="C3" s="255"/>
      <c r="D3" s="255"/>
      <c r="E3" s="255"/>
      <c r="F3" s="255"/>
      <c r="G3" s="255"/>
      <c r="H3" s="255"/>
    </row>
    <row r="4" spans="1:8" ht="24" customHeight="1">
      <c r="A4" s="256" t="s">
        <v>1</v>
      </c>
      <c r="B4" s="257"/>
      <c r="C4" s="243" t="s">
        <v>226</v>
      </c>
      <c r="D4" s="260"/>
      <c r="E4" s="243" t="s">
        <v>227</v>
      </c>
      <c r="F4" s="260"/>
      <c r="G4" s="243" t="s">
        <v>228</v>
      </c>
      <c r="H4" s="244"/>
    </row>
    <row r="5" spans="1:8" ht="24" customHeight="1">
      <c r="A5" s="258"/>
      <c r="B5" s="259"/>
      <c r="C5" s="237" t="s">
        <v>2</v>
      </c>
      <c r="D5" s="6" t="s">
        <v>3</v>
      </c>
      <c r="E5" s="237" t="s">
        <v>2</v>
      </c>
      <c r="F5" s="6" t="s">
        <v>3</v>
      </c>
      <c r="G5" s="237" t="s">
        <v>2</v>
      </c>
      <c r="H5" s="14" t="s">
        <v>3</v>
      </c>
    </row>
    <row r="6" spans="1:8" ht="12" customHeight="1">
      <c r="A6" s="31"/>
      <c r="B6" s="33"/>
      <c r="C6" s="27" t="s">
        <v>27</v>
      </c>
      <c r="D6" s="26" t="s">
        <v>26</v>
      </c>
      <c r="E6" s="27" t="s">
        <v>27</v>
      </c>
      <c r="F6" s="26" t="s">
        <v>26</v>
      </c>
      <c r="G6" s="27" t="s">
        <v>27</v>
      </c>
      <c r="H6" s="32" t="s">
        <v>26</v>
      </c>
    </row>
    <row r="7" spans="1:8" ht="30" customHeight="1">
      <c r="A7" s="245" t="s">
        <v>28</v>
      </c>
      <c r="B7" s="28" t="s">
        <v>14</v>
      </c>
      <c r="C7" s="189">
        <v>53470</v>
      </c>
      <c r="D7" s="29">
        <v>39377626</v>
      </c>
      <c r="E7" s="98">
        <v>154969</v>
      </c>
      <c r="F7" s="29">
        <v>1678545115</v>
      </c>
      <c r="G7" s="98">
        <v>208439</v>
      </c>
      <c r="H7" s="30">
        <v>1717922741</v>
      </c>
    </row>
    <row r="8" spans="1:8" ht="30" customHeight="1">
      <c r="A8" s="246"/>
      <c r="B8" s="18" t="s">
        <v>15</v>
      </c>
      <c r="C8" s="190">
        <v>87199</v>
      </c>
      <c r="D8" s="100">
        <v>41706778</v>
      </c>
      <c r="E8" s="99">
        <v>57215</v>
      </c>
      <c r="F8" s="100">
        <v>40043499</v>
      </c>
      <c r="G8" s="99">
        <v>144414</v>
      </c>
      <c r="H8" s="101">
        <v>81750276</v>
      </c>
    </row>
    <row r="9" spans="1:8" s="3" customFormat="1" ht="30" customHeight="1">
      <c r="A9" s="246"/>
      <c r="B9" s="19" t="s">
        <v>16</v>
      </c>
      <c r="C9" s="191">
        <v>140669</v>
      </c>
      <c r="D9" s="103">
        <v>81084404</v>
      </c>
      <c r="E9" s="102">
        <v>212184</v>
      </c>
      <c r="F9" s="103">
        <v>1718588613</v>
      </c>
      <c r="G9" s="102">
        <v>352853</v>
      </c>
      <c r="H9" s="104">
        <v>1799673017</v>
      </c>
    </row>
    <row r="10" spans="1:8" ht="30" customHeight="1">
      <c r="A10" s="247"/>
      <c r="B10" s="20" t="s">
        <v>17</v>
      </c>
      <c r="C10" s="192">
        <v>6875</v>
      </c>
      <c r="D10" s="106">
        <v>4759151</v>
      </c>
      <c r="E10" s="105">
        <v>15237</v>
      </c>
      <c r="F10" s="106">
        <v>788593023</v>
      </c>
      <c r="G10" s="105">
        <v>22112</v>
      </c>
      <c r="H10" s="107">
        <v>793352175</v>
      </c>
    </row>
    <row r="11" spans="1:8" ht="30" customHeight="1">
      <c r="A11" s="248" t="s">
        <v>29</v>
      </c>
      <c r="B11" s="44" t="s">
        <v>18</v>
      </c>
      <c r="C11" s="108">
        <v>5991</v>
      </c>
      <c r="D11" s="15">
        <v>1693571</v>
      </c>
      <c r="E11" s="109">
        <v>6438</v>
      </c>
      <c r="F11" s="15">
        <v>3718348</v>
      </c>
      <c r="G11" s="109">
        <v>12429</v>
      </c>
      <c r="H11" s="16">
        <v>5411918</v>
      </c>
    </row>
    <row r="12" spans="1:8" ht="30" customHeight="1">
      <c r="A12" s="249"/>
      <c r="B12" s="238" t="s">
        <v>19</v>
      </c>
      <c r="C12" s="239">
        <v>1605</v>
      </c>
      <c r="D12" s="23">
        <v>350308</v>
      </c>
      <c r="E12" s="240">
        <v>1828</v>
      </c>
      <c r="F12" s="23">
        <v>3110866</v>
      </c>
      <c r="G12" s="240">
        <v>3433</v>
      </c>
      <c r="H12" s="24">
        <v>3461174</v>
      </c>
    </row>
    <row r="13" spans="1:8" ht="30" customHeight="1" thickBot="1">
      <c r="A13" s="250" t="s">
        <v>6</v>
      </c>
      <c r="B13" s="251"/>
      <c r="C13" s="110">
        <v>5619</v>
      </c>
      <c r="D13" s="111">
        <v>236858</v>
      </c>
      <c r="E13" s="110">
        <v>5005</v>
      </c>
      <c r="F13" s="111">
        <v>741289</v>
      </c>
      <c r="G13" s="110">
        <v>10624</v>
      </c>
      <c r="H13" s="112">
        <v>978147</v>
      </c>
    </row>
    <row r="14" spans="1:8" s="91" customFormat="1" ht="3" customHeight="1">
      <c r="A14" s="89"/>
      <c r="B14" s="89"/>
      <c r="C14" s="90"/>
      <c r="D14" s="90"/>
      <c r="E14" s="90"/>
      <c r="F14" s="90"/>
      <c r="G14" s="90"/>
      <c r="H14" s="90"/>
    </row>
    <row r="15" spans="1:8" s="4" customFormat="1" ht="48.75" customHeight="1">
      <c r="A15" s="242" t="s">
        <v>231</v>
      </c>
      <c r="B15" s="252" t="s">
        <v>232</v>
      </c>
      <c r="C15" s="252"/>
      <c r="D15" s="252"/>
      <c r="E15" s="252"/>
      <c r="F15" s="252"/>
      <c r="G15" s="252"/>
      <c r="H15" s="252"/>
    </row>
    <row r="16" spans="2:8" ht="46.5" customHeight="1">
      <c r="B16" s="253" t="s">
        <v>233</v>
      </c>
      <c r="C16" s="253"/>
      <c r="D16" s="253"/>
      <c r="E16" s="253"/>
      <c r="F16" s="253"/>
      <c r="G16" s="253"/>
      <c r="H16" s="253"/>
    </row>
    <row r="17" spans="1:2" ht="14.25" customHeight="1">
      <c r="A17" s="241" t="s">
        <v>225</v>
      </c>
      <c r="B17" s="1" t="s">
        <v>159</v>
      </c>
    </row>
    <row r="18" ht="10.5">
      <c r="A18" s="47"/>
    </row>
  </sheetData>
  <sheetProtection/>
  <mergeCells count="11">
    <mergeCell ref="A1:H1"/>
    <mergeCell ref="A3:H3"/>
    <mergeCell ref="A4:B5"/>
    <mergeCell ref="C4:D4"/>
    <mergeCell ref="E4:F4"/>
    <mergeCell ref="G4:H4"/>
    <mergeCell ref="A7:A10"/>
    <mergeCell ref="A11:A12"/>
    <mergeCell ref="A13:B13"/>
    <mergeCell ref="B15:H15"/>
    <mergeCell ref="B16:H16"/>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消費税（R02）</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K11" sqref="K11"/>
    </sheetView>
  </sheetViews>
  <sheetFormatPr defaultColWidth="9.00390625" defaultRowHeight="13.5"/>
  <cols>
    <col min="1" max="1" width="10.625" style="46" customWidth="1"/>
    <col min="2" max="2" width="15.625" style="46" customWidth="1"/>
    <col min="3" max="3" width="8.625" style="46" customWidth="1"/>
    <col min="4" max="4" width="10.625" style="46" customWidth="1"/>
    <col min="5" max="5" width="8.625" style="46" customWidth="1"/>
    <col min="6" max="6" width="12.875" style="46" bestFit="1" customWidth="1"/>
    <col min="7" max="7" width="8.625" style="46" customWidth="1"/>
    <col min="8" max="8" width="12.875" style="46" bestFit="1" customWidth="1"/>
    <col min="9" max="16384" width="9.00390625" style="46" customWidth="1"/>
  </cols>
  <sheetData>
    <row r="1" s="1" customFormat="1" ht="11.25" thickBot="1">
      <c r="A1" s="1" t="s">
        <v>30</v>
      </c>
    </row>
    <row r="2" spans="1:8" s="1" customFormat="1" ht="15" customHeight="1">
      <c r="A2" s="256" t="s">
        <v>1</v>
      </c>
      <c r="B2" s="257"/>
      <c r="C2" s="261" t="s">
        <v>13</v>
      </c>
      <c r="D2" s="261"/>
      <c r="E2" s="261" t="s">
        <v>20</v>
      </c>
      <c r="F2" s="261"/>
      <c r="G2" s="262" t="s">
        <v>21</v>
      </c>
      <c r="H2" s="263"/>
    </row>
    <row r="3" spans="1:8" s="1" customFormat="1" ht="15" customHeight="1">
      <c r="A3" s="258"/>
      <c r="B3" s="259"/>
      <c r="C3" s="9" t="s">
        <v>22</v>
      </c>
      <c r="D3" s="6" t="s">
        <v>23</v>
      </c>
      <c r="E3" s="9" t="s">
        <v>22</v>
      </c>
      <c r="F3" s="7" t="s">
        <v>23</v>
      </c>
      <c r="G3" s="9" t="s">
        <v>22</v>
      </c>
      <c r="H3" s="8" t="s">
        <v>23</v>
      </c>
    </row>
    <row r="4" spans="1:8" s="10" customFormat="1" ht="15" customHeight="1">
      <c r="A4" s="35"/>
      <c r="B4" s="6"/>
      <c r="C4" s="36" t="s">
        <v>4</v>
      </c>
      <c r="D4" s="37" t="s">
        <v>5</v>
      </c>
      <c r="E4" s="36" t="s">
        <v>4</v>
      </c>
      <c r="F4" s="37" t="s">
        <v>5</v>
      </c>
      <c r="G4" s="36" t="s">
        <v>4</v>
      </c>
      <c r="H4" s="38" t="s">
        <v>5</v>
      </c>
    </row>
    <row r="5" spans="1:8" s="45" customFormat="1" ht="30" customHeight="1">
      <c r="A5" s="266" t="s">
        <v>221</v>
      </c>
      <c r="B5" s="28" t="s">
        <v>11</v>
      </c>
      <c r="C5" s="34">
        <v>150456</v>
      </c>
      <c r="D5" s="29">
        <v>78017079</v>
      </c>
      <c r="E5" s="34">
        <v>214585</v>
      </c>
      <c r="F5" s="29">
        <v>1518559627</v>
      </c>
      <c r="G5" s="34">
        <v>365041</v>
      </c>
      <c r="H5" s="30">
        <v>1596576707</v>
      </c>
    </row>
    <row r="6" spans="1:8" s="45" customFormat="1" ht="30" customHeight="1">
      <c r="A6" s="267"/>
      <c r="B6" s="20" t="s">
        <v>12</v>
      </c>
      <c r="C6" s="22">
        <v>4192</v>
      </c>
      <c r="D6" s="23">
        <v>3539687</v>
      </c>
      <c r="E6" s="22">
        <v>11672</v>
      </c>
      <c r="F6" s="23">
        <v>581475508</v>
      </c>
      <c r="G6" s="22">
        <v>15864</v>
      </c>
      <c r="H6" s="24">
        <v>585015195</v>
      </c>
    </row>
    <row r="7" spans="1:8" s="45" customFormat="1" ht="30" customHeight="1">
      <c r="A7" s="266" t="s">
        <v>222</v>
      </c>
      <c r="B7" s="17" t="s">
        <v>11</v>
      </c>
      <c r="C7" s="21">
        <v>147890</v>
      </c>
      <c r="D7" s="15">
        <v>77484928</v>
      </c>
      <c r="E7" s="21">
        <v>214624</v>
      </c>
      <c r="F7" s="15">
        <v>1552822819</v>
      </c>
      <c r="G7" s="21">
        <v>362514</v>
      </c>
      <c r="H7" s="16">
        <v>1630307747</v>
      </c>
    </row>
    <row r="8" spans="1:8" s="45" customFormat="1" ht="30" customHeight="1">
      <c r="A8" s="267"/>
      <c r="B8" s="20" t="s">
        <v>12</v>
      </c>
      <c r="C8" s="22">
        <v>4155</v>
      </c>
      <c r="D8" s="23">
        <v>3360593</v>
      </c>
      <c r="E8" s="22">
        <v>11944</v>
      </c>
      <c r="F8" s="23">
        <v>640633498</v>
      </c>
      <c r="G8" s="22">
        <v>16099</v>
      </c>
      <c r="H8" s="24">
        <v>643994091</v>
      </c>
    </row>
    <row r="9" spans="1:8" s="45" customFormat="1" ht="30" customHeight="1">
      <c r="A9" s="266" t="s">
        <v>223</v>
      </c>
      <c r="B9" s="17" t="s">
        <v>11</v>
      </c>
      <c r="C9" s="21">
        <v>146178</v>
      </c>
      <c r="D9" s="15">
        <v>76850144</v>
      </c>
      <c r="E9" s="21">
        <v>214351</v>
      </c>
      <c r="F9" s="15">
        <v>1597169853</v>
      </c>
      <c r="G9" s="21">
        <v>360529</v>
      </c>
      <c r="H9" s="16">
        <v>1674019997</v>
      </c>
    </row>
    <row r="10" spans="1:8" s="45" customFormat="1" ht="30" customHeight="1">
      <c r="A10" s="267"/>
      <c r="B10" s="20" t="s">
        <v>12</v>
      </c>
      <c r="C10" s="22">
        <v>4293</v>
      </c>
      <c r="D10" s="23">
        <v>3532751</v>
      </c>
      <c r="E10" s="22">
        <v>12519</v>
      </c>
      <c r="F10" s="23">
        <v>696535870</v>
      </c>
      <c r="G10" s="22">
        <v>16812</v>
      </c>
      <c r="H10" s="24">
        <v>700068621</v>
      </c>
    </row>
    <row r="11" spans="1:8" s="45" customFormat="1" ht="30" customHeight="1">
      <c r="A11" s="266" t="s">
        <v>224</v>
      </c>
      <c r="B11" s="17" t="s">
        <v>11</v>
      </c>
      <c r="C11" s="21">
        <v>142434</v>
      </c>
      <c r="D11" s="15">
        <v>78958097</v>
      </c>
      <c r="E11" s="21">
        <v>213805</v>
      </c>
      <c r="F11" s="15">
        <v>1537004615</v>
      </c>
      <c r="G11" s="21">
        <v>356239</v>
      </c>
      <c r="H11" s="16">
        <v>1615962712</v>
      </c>
    </row>
    <row r="12" spans="1:8" s="45" customFormat="1" ht="30" customHeight="1">
      <c r="A12" s="267"/>
      <c r="B12" s="20" t="s">
        <v>12</v>
      </c>
      <c r="C12" s="22">
        <v>4377</v>
      </c>
      <c r="D12" s="23">
        <v>3267817</v>
      </c>
      <c r="E12" s="22">
        <v>12830</v>
      </c>
      <c r="F12" s="23">
        <v>735064240</v>
      </c>
      <c r="G12" s="22">
        <v>17207</v>
      </c>
      <c r="H12" s="24">
        <v>738332057</v>
      </c>
    </row>
    <row r="13" spans="1:8" s="1" customFormat="1" ht="30" customHeight="1">
      <c r="A13" s="264" t="s">
        <v>229</v>
      </c>
      <c r="B13" s="17" t="s">
        <v>11</v>
      </c>
      <c r="C13" s="193">
        <v>140669</v>
      </c>
      <c r="D13" s="15">
        <v>81084404</v>
      </c>
      <c r="E13" s="21">
        <v>212184</v>
      </c>
      <c r="F13" s="15">
        <v>1718588613</v>
      </c>
      <c r="G13" s="21">
        <v>352853</v>
      </c>
      <c r="H13" s="16">
        <v>1799673017</v>
      </c>
    </row>
    <row r="14" spans="1:8" s="1" customFormat="1" ht="30" customHeight="1" thickBot="1">
      <c r="A14" s="265"/>
      <c r="B14" s="25" t="s">
        <v>12</v>
      </c>
      <c r="C14" s="194">
        <v>6875</v>
      </c>
      <c r="D14" s="139">
        <v>4759151</v>
      </c>
      <c r="E14" s="138">
        <v>15237</v>
      </c>
      <c r="F14" s="139">
        <v>788593023</v>
      </c>
      <c r="G14" s="138">
        <v>22112</v>
      </c>
      <c r="H14" s="140">
        <v>793352175</v>
      </c>
    </row>
    <row r="15" spans="5:7" s="1" customFormat="1" ht="10.5">
      <c r="E15" s="2"/>
      <c r="G15" s="2"/>
    </row>
    <row r="16" spans="5:7" s="1" customFormat="1" ht="10.5">
      <c r="E16" s="2"/>
      <c r="G16" s="2"/>
    </row>
    <row r="17" spans="5:7" s="1" customFormat="1" ht="10.5">
      <c r="E17" s="2"/>
      <c r="G17" s="2"/>
    </row>
    <row r="18" spans="5:7" s="1" customFormat="1" ht="10.5">
      <c r="E18" s="2"/>
      <c r="G18" s="2"/>
    </row>
    <row r="19" spans="5:7" s="1" customFormat="1" ht="10.5">
      <c r="E19" s="2"/>
      <c r="G19" s="2"/>
    </row>
    <row r="20" spans="5:7" s="1" customFormat="1" ht="10.5">
      <c r="E20" s="2"/>
      <c r="G20" s="2"/>
    </row>
    <row r="21" spans="5:7" s="1" customFormat="1" ht="10.5">
      <c r="E21" s="2"/>
      <c r="G21" s="2"/>
    </row>
    <row r="22" spans="5:7" s="1" customFormat="1" ht="10.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消費税（R02）</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100" workbookViewId="0" topLeftCell="A1">
      <selection activeCell="C13" sqref="C13"/>
    </sheetView>
  </sheetViews>
  <sheetFormatPr defaultColWidth="9.00390625" defaultRowHeight="13.5"/>
  <cols>
    <col min="1" max="2" width="18.625" style="46" customWidth="1"/>
    <col min="3" max="3" width="23.625" style="46" customWidth="1"/>
    <col min="4" max="4" width="18.625" style="46" customWidth="1"/>
    <col min="5" max="16384" width="9.00390625" style="46" customWidth="1"/>
  </cols>
  <sheetData>
    <row r="1" s="1" customFormat="1" ht="20.25" customHeight="1" thickBot="1">
      <c r="A1" s="1" t="s">
        <v>24</v>
      </c>
    </row>
    <row r="2" spans="1:4" s="4" customFormat="1" ht="19.5" customHeight="1">
      <c r="A2" s="11" t="s">
        <v>7</v>
      </c>
      <c r="B2" s="12" t="s">
        <v>8</v>
      </c>
      <c r="C2" s="13" t="s">
        <v>9</v>
      </c>
      <c r="D2" s="48" t="s">
        <v>31</v>
      </c>
    </row>
    <row r="3" spans="1:4" s="10" customFormat="1" ht="15" customHeight="1">
      <c r="A3" s="39" t="s">
        <v>4</v>
      </c>
      <c r="B3" s="40" t="s">
        <v>4</v>
      </c>
      <c r="C3" s="41" t="s">
        <v>4</v>
      </c>
      <c r="D3" s="42" t="s">
        <v>4</v>
      </c>
    </row>
    <row r="4" spans="1:9" s="4" customFormat="1" ht="30" customHeight="1" thickBot="1">
      <c r="A4" s="144">
        <v>373048</v>
      </c>
      <c r="B4" s="145">
        <v>10917</v>
      </c>
      <c r="C4" s="146">
        <v>1177</v>
      </c>
      <c r="D4" s="147">
        <v>385142</v>
      </c>
      <c r="E4" s="5"/>
      <c r="G4" s="5"/>
      <c r="I4" s="5"/>
    </row>
    <row r="5" spans="1:9" s="94" customFormat="1" ht="3" customHeight="1">
      <c r="A5" s="92"/>
      <c r="B5" s="92"/>
      <c r="C5" s="92"/>
      <c r="D5" s="92"/>
      <c r="E5" s="93"/>
      <c r="G5" s="93"/>
      <c r="I5" s="93"/>
    </row>
    <row r="6" spans="1:4" s="4" customFormat="1" ht="15" customHeight="1">
      <c r="A6" s="268" t="s">
        <v>230</v>
      </c>
      <c r="B6" s="268"/>
      <c r="C6" s="268"/>
      <c r="D6" s="268"/>
    </row>
    <row r="7" spans="1:4" s="4" customFormat="1" ht="15" customHeight="1">
      <c r="A7" s="269" t="s">
        <v>10</v>
      </c>
      <c r="B7" s="269"/>
      <c r="C7" s="269"/>
      <c r="D7" s="269"/>
    </row>
  </sheetData>
  <sheetProtection/>
  <mergeCells count="2">
    <mergeCell ref="A6:D6"/>
    <mergeCell ref="A7:D7"/>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消費税（R02）</oddFooter>
  </headerFooter>
</worksheet>
</file>

<file path=xl/worksheets/sheet4.xml><?xml version="1.0" encoding="utf-8"?>
<worksheet xmlns="http://schemas.openxmlformats.org/spreadsheetml/2006/main" xmlns:r="http://schemas.openxmlformats.org/officeDocument/2006/relationships">
  <dimension ref="A1:N65"/>
  <sheetViews>
    <sheetView showGridLines="0" zoomScale="85" zoomScaleNormal="85" zoomScaleSheetLayoutView="100" zoomScalePageLayoutView="115" workbookViewId="0" topLeftCell="A55">
      <selection activeCell="B7" sqref="B7:M63"/>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2.75">
      <c r="A1" s="49" t="s">
        <v>219</v>
      </c>
      <c r="B1" s="49"/>
      <c r="C1" s="49"/>
      <c r="D1" s="49"/>
      <c r="E1" s="49"/>
      <c r="F1" s="49"/>
      <c r="G1" s="49"/>
      <c r="H1" s="50"/>
      <c r="I1" s="50"/>
      <c r="J1" s="50"/>
      <c r="K1" s="50"/>
      <c r="L1" s="50"/>
      <c r="M1" s="50"/>
      <c r="N1" s="50"/>
    </row>
    <row r="2" spans="1:14" ht="13.5" thickBot="1">
      <c r="A2" s="270" t="s">
        <v>32</v>
      </c>
      <c r="B2" s="270"/>
      <c r="C2" s="270"/>
      <c r="D2" s="270"/>
      <c r="E2" s="270"/>
      <c r="F2" s="270"/>
      <c r="G2" s="270"/>
      <c r="H2" s="50"/>
      <c r="I2" s="50"/>
      <c r="J2" s="50"/>
      <c r="K2" s="50"/>
      <c r="L2" s="50"/>
      <c r="M2" s="50"/>
      <c r="N2" s="50"/>
    </row>
    <row r="3" spans="1:14" ht="22.5" customHeight="1">
      <c r="A3" s="271" t="s">
        <v>150</v>
      </c>
      <c r="B3" s="274" t="s">
        <v>151</v>
      </c>
      <c r="C3" s="274"/>
      <c r="D3" s="274"/>
      <c r="E3" s="274"/>
      <c r="F3" s="274"/>
      <c r="G3" s="274"/>
      <c r="H3" s="275" t="s">
        <v>12</v>
      </c>
      <c r="I3" s="276"/>
      <c r="J3" s="279" t="s">
        <v>33</v>
      </c>
      <c r="K3" s="276"/>
      <c r="L3" s="280" t="s">
        <v>34</v>
      </c>
      <c r="M3" s="281"/>
      <c r="N3" s="284" t="s">
        <v>35</v>
      </c>
    </row>
    <row r="4" spans="1:14" ht="18.75" customHeight="1">
      <c r="A4" s="272"/>
      <c r="B4" s="287" t="s">
        <v>14</v>
      </c>
      <c r="C4" s="287"/>
      <c r="D4" s="277" t="s">
        <v>36</v>
      </c>
      <c r="E4" s="288"/>
      <c r="F4" s="282" t="s">
        <v>37</v>
      </c>
      <c r="G4" s="289"/>
      <c r="H4" s="277"/>
      <c r="I4" s="278"/>
      <c r="J4" s="277"/>
      <c r="K4" s="278"/>
      <c r="L4" s="282"/>
      <c r="M4" s="283"/>
      <c r="N4" s="285"/>
    </row>
    <row r="5" spans="1:14" s="137" customFormat="1" ht="33.75" customHeight="1">
      <c r="A5" s="273"/>
      <c r="B5" s="143" t="s">
        <v>215</v>
      </c>
      <c r="C5" s="51" t="s">
        <v>152</v>
      </c>
      <c r="D5" s="143" t="s">
        <v>215</v>
      </c>
      <c r="E5" s="51" t="s">
        <v>152</v>
      </c>
      <c r="F5" s="143" t="s">
        <v>215</v>
      </c>
      <c r="G5" s="52" t="s">
        <v>212</v>
      </c>
      <c r="H5" s="143" t="s">
        <v>215</v>
      </c>
      <c r="I5" s="52" t="s">
        <v>213</v>
      </c>
      <c r="J5" s="143" t="s">
        <v>215</v>
      </c>
      <c r="K5" s="52" t="s">
        <v>214</v>
      </c>
      <c r="L5" s="143" t="s">
        <v>215</v>
      </c>
      <c r="M5" s="52" t="s">
        <v>153</v>
      </c>
      <c r="N5" s="286"/>
    </row>
    <row r="6" spans="1:14" s="58" customFormat="1" ht="9">
      <c r="A6" s="53"/>
      <c r="B6" s="54" t="s">
        <v>4</v>
      </c>
      <c r="C6" s="55" t="s">
        <v>5</v>
      </c>
      <c r="D6" s="54" t="s">
        <v>4</v>
      </c>
      <c r="E6" s="55" t="s">
        <v>5</v>
      </c>
      <c r="F6" s="54" t="s">
        <v>4</v>
      </c>
      <c r="G6" s="55" t="s">
        <v>5</v>
      </c>
      <c r="H6" s="54" t="s">
        <v>4</v>
      </c>
      <c r="I6" s="56" t="s">
        <v>5</v>
      </c>
      <c r="J6" s="54" t="s">
        <v>4</v>
      </c>
      <c r="K6" s="56" t="s">
        <v>5</v>
      </c>
      <c r="L6" s="54" t="s">
        <v>218</v>
      </c>
      <c r="M6" s="56" t="s">
        <v>5</v>
      </c>
      <c r="N6" s="57"/>
    </row>
    <row r="7" spans="1:14" s="61" customFormat="1" ht="22.5" customHeight="1">
      <c r="A7" s="59" t="s">
        <v>41</v>
      </c>
      <c r="B7" s="123">
        <f>_xlfn.COMPOUNDVALUE(1)</f>
        <v>1868</v>
      </c>
      <c r="C7" s="195">
        <v>1253834</v>
      </c>
      <c r="D7" s="196">
        <f>_xlfn.COMPOUNDVALUE(2)</f>
        <v>2424</v>
      </c>
      <c r="E7" s="195">
        <v>1184069</v>
      </c>
      <c r="F7" s="196">
        <f>_xlfn.COMPOUNDVALUE(3)</f>
        <v>4292</v>
      </c>
      <c r="G7" s="195">
        <v>2437904</v>
      </c>
      <c r="H7" s="196">
        <f>_xlfn.COMPOUNDVALUE(4)</f>
        <v>210</v>
      </c>
      <c r="I7" s="197">
        <v>413284</v>
      </c>
      <c r="J7" s="123">
        <v>249</v>
      </c>
      <c r="K7" s="125">
        <v>52370</v>
      </c>
      <c r="L7" s="123">
        <v>4632</v>
      </c>
      <c r="M7" s="125">
        <v>2076990</v>
      </c>
      <c r="N7" s="60" t="s">
        <v>42</v>
      </c>
    </row>
    <row r="8" spans="1:14" s="61" customFormat="1" ht="22.5" customHeight="1">
      <c r="A8" s="62" t="s">
        <v>43</v>
      </c>
      <c r="B8" s="126">
        <f>_xlfn.COMPOUNDVALUE(5)</f>
        <v>1557</v>
      </c>
      <c r="C8" s="198">
        <v>1109244</v>
      </c>
      <c r="D8" s="199">
        <f>_xlfn.COMPOUNDVALUE(6)</f>
        <v>2018</v>
      </c>
      <c r="E8" s="198">
        <v>1001110</v>
      </c>
      <c r="F8" s="199">
        <f>_xlfn.COMPOUNDVALUE(7)</f>
        <v>3575</v>
      </c>
      <c r="G8" s="198">
        <v>2110354</v>
      </c>
      <c r="H8" s="199">
        <f>_xlfn.COMPOUNDVALUE(8)</f>
        <v>175</v>
      </c>
      <c r="I8" s="200">
        <v>81805</v>
      </c>
      <c r="J8" s="126">
        <v>198</v>
      </c>
      <c r="K8" s="128">
        <v>47465</v>
      </c>
      <c r="L8" s="126">
        <v>3852</v>
      </c>
      <c r="M8" s="128">
        <v>2076014</v>
      </c>
      <c r="N8" s="63" t="s">
        <v>44</v>
      </c>
    </row>
    <row r="9" spans="1:14" s="61" customFormat="1" ht="22.5" customHeight="1">
      <c r="A9" s="62" t="s">
        <v>45</v>
      </c>
      <c r="B9" s="126">
        <f>_xlfn.COMPOUNDVALUE(9)</f>
        <v>1466</v>
      </c>
      <c r="C9" s="198">
        <v>1037701</v>
      </c>
      <c r="D9" s="199">
        <f>_xlfn.COMPOUNDVALUE(10)</f>
        <v>2063</v>
      </c>
      <c r="E9" s="198">
        <v>946739</v>
      </c>
      <c r="F9" s="199">
        <f>_xlfn.COMPOUNDVALUE(11)</f>
        <v>3529</v>
      </c>
      <c r="G9" s="198">
        <v>1984440</v>
      </c>
      <c r="H9" s="199">
        <f>_xlfn.COMPOUNDVALUE(12)</f>
        <v>180</v>
      </c>
      <c r="I9" s="200">
        <v>119513</v>
      </c>
      <c r="J9" s="126">
        <v>105</v>
      </c>
      <c r="K9" s="128">
        <v>23494</v>
      </c>
      <c r="L9" s="126">
        <v>3771</v>
      </c>
      <c r="M9" s="128">
        <v>1888421</v>
      </c>
      <c r="N9" s="63" t="s">
        <v>46</v>
      </c>
    </row>
    <row r="10" spans="1:14" s="61" customFormat="1" ht="22.5" customHeight="1">
      <c r="A10" s="62" t="s">
        <v>47</v>
      </c>
      <c r="B10" s="126">
        <f>_xlfn.COMPOUNDVALUE(13)</f>
        <v>626</v>
      </c>
      <c r="C10" s="198">
        <v>418857</v>
      </c>
      <c r="D10" s="199">
        <f>_xlfn.COMPOUNDVALUE(14)</f>
        <v>1333</v>
      </c>
      <c r="E10" s="198">
        <v>529328</v>
      </c>
      <c r="F10" s="199">
        <f>_xlfn.COMPOUNDVALUE(15)</f>
        <v>1959</v>
      </c>
      <c r="G10" s="198">
        <v>948185</v>
      </c>
      <c r="H10" s="199">
        <f>_xlfn.COMPOUNDVALUE(16)</f>
        <v>85</v>
      </c>
      <c r="I10" s="200">
        <v>49420</v>
      </c>
      <c r="J10" s="126">
        <v>64</v>
      </c>
      <c r="K10" s="128">
        <v>5288</v>
      </c>
      <c r="L10" s="126">
        <v>2071</v>
      </c>
      <c r="M10" s="128">
        <v>904054</v>
      </c>
      <c r="N10" s="63" t="s">
        <v>48</v>
      </c>
    </row>
    <row r="11" spans="1:14" s="61" customFormat="1" ht="22.5" customHeight="1">
      <c r="A11" s="62" t="s">
        <v>49</v>
      </c>
      <c r="B11" s="126">
        <f>_xlfn.COMPOUNDVALUE(17)</f>
        <v>1011</v>
      </c>
      <c r="C11" s="198">
        <v>702248</v>
      </c>
      <c r="D11" s="199">
        <f>_xlfn.COMPOUNDVALUE(18)</f>
        <v>1782</v>
      </c>
      <c r="E11" s="198">
        <v>822324</v>
      </c>
      <c r="F11" s="199">
        <f>_xlfn.COMPOUNDVALUE(19)</f>
        <v>2793</v>
      </c>
      <c r="G11" s="198">
        <v>1524572</v>
      </c>
      <c r="H11" s="199">
        <f>_xlfn.COMPOUNDVALUE(20)</f>
        <v>104</v>
      </c>
      <c r="I11" s="200">
        <v>59621</v>
      </c>
      <c r="J11" s="126">
        <v>173</v>
      </c>
      <c r="K11" s="128">
        <v>30236</v>
      </c>
      <c r="L11" s="126">
        <v>2958</v>
      </c>
      <c r="M11" s="128">
        <v>1495186</v>
      </c>
      <c r="N11" s="63" t="s">
        <v>50</v>
      </c>
    </row>
    <row r="12" spans="1:14" s="61" customFormat="1" ht="22.5" customHeight="1">
      <c r="A12" s="62" t="s">
        <v>51</v>
      </c>
      <c r="B12" s="126">
        <f>_xlfn.COMPOUNDVALUE(21)</f>
        <v>1145</v>
      </c>
      <c r="C12" s="198">
        <v>712870</v>
      </c>
      <c r="D12" s="199">
        <f>_xlfn.COMPOUNDVALUE(22)</f>
        <v>1737</v>
      </c>
      <c r="E12" s="198">
        <v>776836</v>
      </c>
      <c r="F12" s="199">
        <f>_xlfn.COMPOUNDVALUE(23)</f>
        <v>2882</v>
      </c>
      <c r="G12" s="198">
        <v>1489706</v>
      </c>
      <c r="H12" s="199">
        <f>_xlfn.COMPOUNDVALUE(24)</f>
        <v>148</v>
      </c>
      <c r="I12" s="200">
        <v>55190</v>
      </c>
      <c r="J12" s="126">
        <v>119</v>
      </c>
      <c r="K12" s="128">
        <v>16826</v>
      </c>
      <c r="L12" s="126">
        <v>3084</v>
      </c>
      <c r="M12" s="128">
        <v>1451341</v>
      </c>
      <c r="N12" s="63" t="s">
        <v>52</v>
      </c>
    </row>
    <row r="13" spans="1:14" s="61" customFormat="1" ht="22.5" customHeight="1">
      <c r="A13" s="148" t="s">
        <v>53</v>
      </c>
      <c r="B13" s="149">
        <f>_xlfn.COMPOUNDVALUE(25)</f>
        <v>440</v>
      </c>
      <c r="C13" s="201">
        <v>275250</v>
      </c>
      <c r="D13" s="202">
        <f>_xlfn.COMPOUNDVALUE(26)</f>
        <v>753</v>
      </c>
      <c r="E13" s="201">
        <v>340857</v>
      </c>
      <c r="F13" s="202">
        <f>_xlfn.COMPOUNDVALUE(27)</f>
        <v>1193</v>
      </c>
      <c r="G13" s="201">
        <v>616107</v>
      </c>
      <c r="H13" s="202">
        <f>_xlfn.COMPOUNDVALUE(28)</f>
        <v>64</v>
      </c>
      <c r="I13" s="203">
        <v>41409</v>
      </c>
      <c r="J13" s="149">
        <v>55</v>
      </c>
      <c r="K13" s="151">
        <v>7124</v>
      </c>
      <c r="L13" s="149">
        <v>1279</v>
      </c>
      <c r="M13" s="151">
        <v>581822</v>
      </c>
      <c r="N13" s="152" t="s">
        <v>54</v>
      </c>
    </row>
    <row r="14" spans="1:14" s="61" customFormat="1" ht="22.5" customHeight="1">
      <c r="A14" s="153" t="s">
        <v>55</v>
      </c>
      <c r="B14" s="154">
        <v>8113</v>
      </c>
      <c r="C14" s="155">
        <v>5510004</v>
      </c>
      <c r="D14" s="154">
        <v>12110</v>
      </c>
      <c r="E14" s="155">
        <v>5601263</v>
      </c>
      <c r="F14" s="154">
        <v>20223</v>
      </c>
      <c r="G14" s="155">
        <v>11111266</v>
      </c>
      <c r="H14" s="154">
        <v>966</v>
      </c>
      <c r="I14" s="156">
        <v>820242</v>
      </c>
      <c r="J14" s="154">
        <v>963</v>
      </c>
      <c r="K14" s="156">
        <v>182803</v>
      </c>
      <c r="L14" s="154">
        <v>21647</v>
      </c>
      <c r="M14" s="156">
        <v>10473828</v>
      </c>
      <c r="N14" s="157" t="s">
        <v>56</v>
      </c>
    </row>
    <row r="15" spans="1:14" s="61" customFormat="1" ht="22.5" customHeight="1">
      <c r="A15" s="158"/>
      <c r="B15" s="159"/>
      <c r="C15" s="160"/>
      <c r="D15" s="159"/>
      <c r="E15" s="160"/>
      <c r="F15" s="161"/>
      <c r="G15" s="160"/>
      <c r="H15" s="161"/>
      <c r="I15" s="160"/>
      <c r="J15" s="161"/>
      <c r="K15" s="160"/>
      <c r="L15" s="161"/>
      <c r="M15" s="160"/>
      <c r="N15" s="162"/>
    </row>
    <row r="16" spans="1:14" s="61" customFormat="1" ht="22.5" customHeight="1">
      <c r="A16" s="59" t="s">
        <v>57</v>
      </c>
      <c r="B16" s="196">
        <f>_xlfn.COMPOUNDVALUE(29)</f>
        <v>1785</v>
      </c>
      <c r="C16" s="195">
        <v>1237764</v>
      </c>
      <c r="D16" s="196">
        <f>_xlfn.COMPOUNDVALUE(30)</f>
        <v>3234</v>
      </c>
      <c r="E16" s="195">
        <v>1674029</v>
      </c>
      <c r="F16" s="196">
        <f>_xlfn.COMPOUNDVALUE(31)</f>
        <v>5019</v>
      </c>
      <c r="G16" s="195">
        <v>2911793</v>
      </c>
      <c r="H16" s="196">
        <f>_xlfn.COMPOUNDVALUE(32)</f>
        <v>166</v>
      </c>
      <c r="I16" s="197">
        <v>116739</v>
      </c>
      <c r="J16" s="123">
        <v>239</v>
      </c>
      <c r="K16" s="125">
        <v>35769</v>
      </c>
      <c r="L16" s="123">
        <v>5312</v>
      </c>
      <c r="M16" s="125">
        <v>2830824</v>
      </c>
      <c r="N16" s="60" t="s">
        <v>58</v>
      </c>
    </row>
    <row r="17" spans="1:14" s="61" customFormat="1" ht="22.5" customHeight="1">
      <c r="A17" s="59" t="s">
        <v>59</v>
      </c>
      <c r="B17" s="196">
        <f>_xlfn.COMPOUNDVALUE(33)</f>
        <v>815</v>
      </c>
      <c r="C17" s="195">
        <v>603314</v>
      </c>
      <c r="D17" s="196">
        <f>_xlfn.COMPOUNDVALUE(34)</f>
        <v>1646</v>
      </c>
      <c r="E17" s="195">
        <v>775019</v>
      </c>
      <c r="F17" s="196">
        <f>_xlfn.COMPOUNDVALUE(35)</f>
        <v>2461</v>
      </c>
      <c r="G17" s="195">
        <v>1378333</v>
      </c>
      <c r="H17" s="196">
        <f>_xlfn.COMPOUNDVALUE(36)</f>
        <v>86</v>
      </c>
      <c r="I17" s="197">
        <v>57374</v>
      </c>
      <c r="J17" s="123">
        <v>159</v>
      </c>
      <c r="K17" s="125">
        <v>11365</v>
      </c>
      <c r="L17" s="123">
        <v>2607</v>
      </c>
      <c r="M17" s="125">
        <v>1332325</v>
      </c>
      <c r="N17" s="60" t="s">
        <v>60</v>
      </c>
    </row>
    <row r="18" spans="1:14" s="61" customFormat="1" ht="22.5" customHeight="1">
      <c r="A18" s="59" t="s">
        <v>61</v>
      </c>
      <c r="B18" s="196">
        <f>_xlfn.COMPOUNDVALUE(37)</f>
        <v>1699</v>
      </c>
      <c r="C18" s="195">
        <v>1336772</v>
      </c>
      <c r="D18" s="196">
        <f>_xlfn.COMPOUNDVALUE(38)</f>
        <v>3503</v>
      </c>
      <c r="E18" s="195">
        <v>1598414</v>
      </c>
      <c r="F18" s="196">
        <f>_xlfn.COMPOUNDVALUE(39)</f>
        <v>5202</v>
      </c>
      <c r="G18" s="195">
        <v>2935186</v>
      </c>
      <c r="H18" s="196">
        <f>_xlfn.COMPOUNDVALUE(40)</f>
        <v>279</v>
      </c>
      <c r="I18" s="197">
        <v>208937</v>
      </c>
      <c r="J18" s="123">
        <v>248</v>
      </c>
      <c r="K18" s="125">
        <v>31304</v>
      </c>
      <c r="L18" s="123">
        <v>5595</v>
      </c>
      <c r="M18" s="125">
        <v>2757554</v>
      </c>
      <c r="N18" s="60" t="s">
        <v>62</v>
      </c>
    </row>
    <row r="19" spans="1:14" s="61" customFormat="1" ht="22.5" customHeight="1">
      <c r="A19" s="59" t="s">
        <v>63</v>
      </c>
      <c r="B19" s="196">
        <f>_xlfn.COMPOUNDVALUE(41)</f>
        <v>1098</v>
      </c>
      <c r="C19" s="195">
        <v>703038</v>
      </c>
      <c r="D19" s="196">
        <f>_xlfn.COMPOUNDVALUE(42)</f>
        <v>1882</v>
      </c>
      <c r="E19" s="195">
        <v>860781</v>
      </c>
      <c r="F19" s="196">
        <f>_xlfn.COMPOUNDVALUE(43)</f>
        <v>2980</v>
      </c>
      <c r="G19" s="195">
        <v>1563819</v>
      </c>
      <c r="H19" s="196">
        <f>_xlfn.COMPOUNDVALUE(44)</f>
        <v>124</v>
      </c>
      <c r="I19" s="197">
        <v>74943</v>
      </c>
      <c r="J19" s="123">
        <v>148</v>
      </c>
      <c r="K19" s="125">
        <v>15261</v>
      </c>
      <c r="L19" s="123">
        <v>3165</v>
      </c>
      <c r="M19" s="125">
        <v>1504136</v>
      </c>
      <c r="N19" s="60" t="s">
        <v>64</v>
      </c>
    </row>
    <row r="20" spans="1:14" s="61" customFormat="1" ht="22.5" customHeight="1">
      <c r="A20" s="59" t="s">
        <v>65</v>
      </c>
      <c r="B20" s="196">
        <f>_xlfn.COMPOUNDVALUE(45)</f>
        <v>1194</v>
      </c>
      <c r="C20" s="195">
        <v>920071</v>
      </c>
      <c r="D20" s="196">
        <f>_xlfn.COMPOUNDVALUE(46)</f>
        <v>2350</v>
      </c>
      <c r="E20" s="195">
        <v>1153562</v>
      </c>
      <c r="F20" s="196">
        <f>_xlfn.COMPOUNDVALUE(47)</f>
        <v>3544</v>
      </c>
      <c r="G20" s="195">
        <v>2073633</v>
      </c>
      <c r="H20" s="196">
        <f>_xlfn.COMPOUNDVALUE(48)</f>
        <v>124</v>
      </c>
      <c r="I20" s="197">
        <v>83704</v>
      </c>
      <c r="J20" s="123">
        <v>224</v>
      </c>
      <c r="K20" s="125">
        <v>35201</v>
      </c>
      <c r="L20" s="123">
        <v>3736</v>
      </c>
      <c r="M20" s="125">
        <v>2025130</v>
      </c>
      <c r="N20" s="60" t="s">
        <v>66</v>
      </c>
    </row>
    <row r="21" spans="1:14" s="61" customFormat="1" ht="22.5" customHeight="1">
      <c r="A21" s="59" t="s">
        <v>67</v>
      </c>
      <c r="B21" s="196">
        <f>_xlfn.COMPOUNDVALUE(49)</f>
        <v>426</v>
      </c>
      <c r="C21" s="195">
        <v>269711</v>
      </c>
      <c r="D21" s="196">
        <f>_xlfn.COMPOUNDVALUE(50)</f>
        <v>808</v>
      </c>
      <c r="E21" s="195">
        <v>379291</v>
      </c>
      <c r="F21" s="196">
        <f>_xlfn.COMPOUNDVALUE(51)</f>
        <v>1234</v>
      </c>
      <c r="G21" s="195">
        <v>649002</v>
      </c>
      <c r="H21" s="196">
        <f>_xlfn.COMPOUNDVALUE(52)</f>
        <v>73</v>
      </c>
      <c r="I21" s="197">
        <v>28720</v>
      </c>
      <c r="J21" s="123">
        <v>63</v>
      </c>
      <c r="K21" s="125">
        <v>4332</v>
      </c>
      <c r="L21" s="123">
        <v>1326</v>
      </c>
      <c r="M21" s="125">
        <v>624613</v>
      </c>
      <c r="N21" s="60" t="s">
        <v>68</v>
      </c>
    </row>
    <row r="22" spans="1:14" s="61" customFormat="1" ht="22.5" customHeight="1">
      <c r="A22" s="62" t="s">
        <v>69</v>
      </c>
      <c r="B22" s="199">
        <f>_xlfn.COMPOUNDVALUE(53)</f>
        <v>639</v>
      </c>
      <c r="C22" s="198">
        <v>421302</v>
      </c>
      <c r="D22" s="199">
        <f>_xlfn.COMPOUNDVALUE(54)</f>
        <v>1668</v>
      </c>
      <c r="E22" s="198">
        <v>743729</v>
      </c>
      <c r="F22" s="199">
        <f>_xlfn.COMPOUNDVALUE(55)</f>
        <v>2307</v>
      </c>
      <c r="G22" s="198">
        <v>1165030</v>
      </c>
      <c r="H22" s="199">
        <f>_xlfn.COMPOUNDVALUE(56)</f>
        <v>94</v>
      </c>
      <c r="I22" s="200">
        <v>48694</v>
      </c>
      <c r="J22" s="126">
        <v>124</v>
      </c>
      <c r="K22" s="128">
        <v>28896</v>
      </c>
      <c r="L22" s="126">
        <v>2443</v>
      </c>
      <c r="M22" s="128">
        <v>1145232</v>
      </c>
      <c r="N22" s="63" t="s">
        <v>70</v>
      </c>
    </row>
    <row r="23" spans="1:14" s="61" customFormat="1" ht="22.5" customHeight="1">
      <c r="A23" s="62" t="s">
        <v>71</v>
      </c>
      <c r="B23" s="199">
        <f>_xlfn.COMPOUNDVALUE(57)</f>
        <v>643</v>
      </c>
      <c r="C23" s="198">
        <v>469927</v>
      </c>
      <c r="D23" s="199">
        <f>_xlfn.COMPOUNDVALUE(58)</f>
        <v>1507</v>
      </c>
      <c r="E23" s="198">
        <v>555616</v>
      </c>
      <c r="F23" s="199">
        <f>_xlfn.COMPOUNDVALUE(59)</f>
        <v>2150</v>
      </c>
      <c r="G23" s="198">
        <v>1025542</v>
      </c>
      <c r="H23" s="199">
        <f>_xlfn.COMPOUNDVALUE(60)</f>
        <v>80</v>
      </c>
      <c r="I23" s="200">
        <v>54194</v>
      </c>
      <c r="J23" s="126">
        <v>101</v>
      </c>
      <c r="K23" s="128">
        <v>9331</v>
      </c>
      <c r="L23" s="126">
        <v>2258</v>
      </c>
      <c r="M23" s="128">
        <v>980680</v>
      </c>
      <c r="N23" s="63" t="s">
        <v>72</v>
      </c>
    </row>
    <row r="24" spans="1:14" s="61" customFormat="1" ht="22.5" customHeight="1">
      <c r="A24" s="62" t="s">
        <v>73</v>
      </c>
      <c r="B24" s="199">
        <f>_xlfn.COMPOUNDVALUE(61)</f>
        <v>1359</v>
      </c>
      <c r="C24" s="198">
        <v>1053182</v>
      </c>
      <c r="D24" s="199">
        <f>_xlfn.COMPOUNDVALUE(62)</f>
        <v>2645</v>
      </c>
      <c r="E24" s="198">
        <v>1282027</v>
      </c>
      <c r="F24" s="199">
        <f>_xlfn.COMPOUNDVALUE(63)</f>
        <v>4004</v>
      </c>
      <c r="G24" s="198">
        <v>2335209</v>
      </c>
      <c r="H24" s="199">
        <f>_xlfn.COMPOUNDVALUE(64)</f>
        <v>179</v>
      </c>
      <c r="I24" s="200">
        <v>119865</v>
      </c>
      <c r="J24" s="126">
        <v>221</v>
      </c>
      <c r="K24" s="128">
        <v>29952</v>
      </c>
      <c r="L24" s="126">
        <v>4265</v>
      </c>
      <c r="M24" s="128">
        <v>2245296</v>
      </c>
      <c r="N24" s="63" t="s">
        <v>74</v>
      </c>
    </row>
    <row r="25" spans="1:14" s="61" customFormat="1" ht="23.25" customHeight="1">
      <c r="A25" s="62" t="s">
        <v>75</v>
      </c>
      <c r="B25" s="199">
        <f>_xlfn.COMPOUNDVALUE(65)</f>
        <v>860</v>
      </c>
      <c r="C25" s="198">
        <v>536708</v>
      </c>
      <c r="D25" s="199">
        <f>_xlfn.COMPOUNDVALUE(66)</f>
        <v>1672</v>
      </c>
      <c r="E25" s="198">
        <v>717830</v>
      </c>
      <c r="F25" s="199">
        <f>_xlfn.COMPOUNDVALUE(67)</f>
        <v>2532</v>
      </c>
      <c r="G25" s="198">
        <v>1254539</v>
      </c>
      <c r="H25" s="199">
        <f>_xlfn.COMPOUNDVALUE(68)</f>
        <v>132</v>
      </c>
      <c r="I25" s="200">
        <v>126931</v>
      </c>
      <c r="J25" s="126">
        <v>102</v>
      </c>
      <c r="K25" s="128">
        <v>20269</v>
      </c>
      <c r="L25" s="126">
        <v>2716</v>
      </c>
      <c r="M25" s="128">
        <v>1147877</v>
      </c>
      <c r="N25" s="63" t="s">
        <v>76</v>
      </c>
    </row>
    <row r="26" spans="1:14" s="61" customFormat="1" ht="22.5" customHeight="1">
      <c r="A26" s="62" t="s">
        <v>77</v>
      </c>
      <c r="B26" s="199">
        <f>_xlfn.COMPOUNDVALUE(69)</f>
        <v>683</v>
      </c>
      <c r="C26" s="198">
        <v>487226</v>
      </c>
      <c r="D26" s="199">
        <f>_xlfn.COMPOUNDVALUE(70)</f>
        <v>1487</v>
      </c>
      <c r="E26" s="198">
        <v>573991</v>
      </c>
      <c r="F26" s="199">
        <f>_xlfn.COMPOUNDVALUE(71)</f>
        <v>2170</v>
      </c>
      <c r="G26" s="198">
        <v>1061217</v>
      </c>
      <c r="H26" s="199">
        <f>_xlfn.COMPOUNDVALUE(72)</f>
        <v>110</v>
      </c>
      <c r="I26" s="200">
        <v>71274</v>
      </c>
      <c r="J26" s="126">
        <v>128</v>
      </c>
      <c r="K26" s="128">
        <v>6061</v>
      </c>
      <c r="L26" s="126">
        <v>2320</v>
      </c>
      <c r="M26" s="128">
        <v>996003</v>
      </c>
      <c r="N26" s="63" t="s">
        <v>78</v>
      </c>
    </row>
    <row r="27" spans="1:14" s="61" customFormat="1" ht="22.5" customHeight="1">
      <c r="A27" s="62" t="s">
        <v>79</v>
      </c>
      <c r="B27" s="199">
        <f>_xlfn.COMPOUNDVALUE(73)</f>
        <v>870</v>
      </c>
      <c r="C27" s="198">
        <v>675456</v>
      </c>
      <c r="D27" s="199">
        <f>_xlfn.COMPOUNDVALUE(74)</f>
        <v>1759</v>
      </c>
      <c r="E27" s="198">
        <v>830369</v>
      </c>
      <c r="F27" s="199">
        <f>_xlfn.COMPOUNDVALUE(75)</f>
        <v>2629</v>
      </c>
      <c r="G27" s="198">
        <v>1505825</v>
      </c>
      <c r="H27" s="199">
        <f>_xlfn.COMPOUNDVALUE(76)</f>
        <v>91</v>
      </c>
      <c r="I27" s="200">
        <v>41569</v>
      </c>
      <c r="J27" s="126">
        <v>197</v>
      </c>
      <c r="K27" s="128">
        <v>13598</v>
      </c>
      <c r="L27" s="126">
        <v>2794</v>
      </c>
      <c r="M27" s="128">
        <v>1477854</v>
      </c>
      <c r="N27" s="63" t="s">
        <v>80</v>
      </c>
    </row>
    <row r="28" spans="1:14" s="61" customFormat="1" ht="22.5" customHeight="1">
      <c r="A28" s="148" t="s">
        <v>81</v>
      </c>
      <c r="B28" s="202">
        <f>_xlfn.COMPOUNDVALUE(77)</f>
        <v>264</v>
      </c>
      <c r="C28" s="201">
        <v>173549</v>
      </c>
      <c r="D28" s="202">
        <f>_xlfn.COMPOUNDVALUE(78)</f>
        <v>595</v>
      </c>
      <c r="E28" s="201">
        <v>234687</v>
      </c>
      <c r="F28" s="202">
        <f>_xlfn.COMPOUNDVALUE(79)</f>
        <v>859</v>
      </c>
      <c r="G28" s="201">
        <v>408236</v>
      </c>
      <c r="H28" s="202">
        <f>_xlfn.COMPOUNDVALUE(80)</f>
        <v>38</v>
      </c>
      <c r="I28" s="203">
        <v>9043</v>
      </c>
      <c r="J28" s="149">
        <v>26</v>
      </c>
      <c r="K28" s="151">
        <v>2128</v>
      </c>
      <c r="L28" s="149">
        <v>905</v>
      </c>
      <c r="M28" s="151">
        <v>401321</v>
      </c>
      <c r="N28" s="152" t="s">
        <v>82</v>
      </c>
    </row>
    <row r="29" spans="1:14" s="61" customFormat="1" ht="22.5" customHeight="1">
      <c r="A29" s="153" t="s">
        <v>83</v>
      </c>
      <c r="B29" s="204">
        <v>12335</v>
      </c>
      <c r="C29" s="205">
        <v>8888021</v>
      </c>
      <c r="D29" s="204">
        <v>24756</v>
      </c>
      <c r="E29" s="205">
        <v>11379342</v>
      </c>
      <c r="F29" s="204">
        <v>37091</v>
      </c>
      <c r="G29" s="205">
        <v>20267363</v>
      </c>
      <c r="H29" s="204">
        <v>1576</v>
      </c>
      <c r="I29" s="206">
        <v>1041987</v>
      </c>
      <c r="J29" s="154">
        <v>1980</v>
      </c>
      <c r="K29" s="156">
        <v>243467</v>
      </c>
      <c r="L29" s="154">
        <v>39442</v>
      </c>
      <c r="M29" s="156">
        <v>19468843</v>
      </c>
      <c r="N29" s="157" t="s">
        <v>84</v>
      </c>
    </row>
    <row r="30" spans="1:14" s="61" customFormat="1" ht="22.5" customHeight="1">
      <c r="A30" s="158"/>
      <c r="B30" s="159"/>
      <c r="C30" s="160"/>
      <c r="D30" s="159"/>
      <c r="E30" s="160"/>
      <c r="F30" s="161"/>
      <c r="G30" s="160"/>
      <c r="H30" s="161"/>
      <c r="I30" s="160"/>
      <c r="J30" s="161"/>
      <c r="K30" s="160"/>
      <c r="L30" s="161"/>
      <c r="M30" s="160"/>
      <c r="N30" s="162"/>
    </row>
    <row r="31" spans="1:14" s="61" customFormat="1" ht="22.5" customHeight="1">
      <c r="A31" s="59" t="s">
        <v>85</v>
      </c>
      <c r="B31" s="123">
        <f>_xlfn.COMPOUNDVALUE(81)</f>
        <v>1275</v>
      </c>
      <c r="C31" s="195">
        <v>1155885</v>
      </c>
      <c r="D31" s="196">
        <f>_xlfn.COMPOUNDVALUE(82)</f>
        <v>1720</v>
      </c>
      <c r="E31" s="195">
        <v>1099341</v>
      </c>
      <c r="F31" s="196">
        <f>_xlfn.COMPOUNDVALUE(83)</f>
        <v>2995</v>
      </c>
      <c r="G31" s="195">
        <v>2255226</v>
      </c>
      <c r="H31" s="196">
        <f>_xlfn.COMPOUNDVALUE(84)</f>
        <v>169</v>
      </c>
      <c r="I31" s="197">
        <v>162403</v>
      </c>
      <c r="J31" s="123">
        <v>168</v>
      </c>
      <c r="K31" s="125">
        <v>18849</v>
      </c>
      <c r="L31" s="123">
        <v>3253</v>
      </c>
      <c r="M31" s="125">
        <v>2111672</v>
      </c>
      <c r="N31" s="60" t="s">
        <v>86</v>
      </c>
    </row>
    <row r="32" spans="1:14" s="61" customFormat="1" ht="22.5" customHeight="1">
      <c r="A32" s="59" t="s">
        <v>87</v>
      </c>
      <c r="B32" s="123">
        <f>_xlfn.COMPOUNDVALUE(85)</f>
        <v>473</v>
      </c>
      <c r="C32" s="195">
        <v>458434</v>
      </c>
      <c r="D32" s="196">
        <f>_xlfn.COMPOUNDVALUE(86)</f>
        <v>570</v>
      </c>
      <c r="E32" s="195">
        <v>388509</v>
      </c>
      <c r="F32" s="196">
        <f>_xlfn.COMPOUNDVALUE(87)</f>
        <v>1043</v>
      </c>
      <c r="G32" s="195">
        <v>846943</v>
      </c>
      <c r="H32" s="196">
        <f>_xlfn.COMPOUNDVALUE(88)</f>
        <v>87</v>
      </c>
      <c r="I32" s="197">
        <v>70144</v>
      </c>
      <c r="J32" s="123">
        <v>48</v>
      </c>
      <c r="K32" s="125">
        <v>12523</v>
      </c>
      <c r="L32" s="123">
        <v>1155</v>
      </c>
      <c r="M32" s="125">
        <v>789321</v>
      </c>
      <c r="N32" s="60" t="s">
        <v>88</v>
      </c>
    </row>
    <row r="33" spans="1:14" s="61" customFormat="1" ht="22.5" customHeight="1">
      <c r="A33" s="59" t="s">
        <v>89</v>
      </c>
      <c r="B33" s="123">
        <f>_xlfn.COMPOUNDVALUE(89)</f>
        <v>1194</v>
      </c>
      <c r="C33" s="195">
        <v>751669</v>
      </c>
      <c r="D33" s="196">
        <f>_xlfn.COMPOUNDVALUE(90)</f>
        <v>1549</v>
      </c>
      <c r="E33" s="195">
        <v>810209</v>
      </c>
      <c r="F33" s="196">
        <f>_xlfn.COMPOUNDVALUE(91)</f>
        <v>2743</v>
      </c>
      <c r="G33" s="195">
        <v>1561877</v>
      </c>
      <c r="H33" s="196">
        <f>_xlfn.COMPOUNDVALUE(92)</f>
        <v>150</v>
      </c>
      <c r="I33" s="197">
        <v>80752</v>
      </c>
      <c r="J33" s="123">
        <v>190</v>
      </c>
      <c r="K33" s="125">
        <v>29361</v>
      </c>
      <c r="L33" s="123">
        <v>2989</v>
      </c>
      <c r="M33" s="125">
        <v>1510486</v>
      </c>
      <c r="N33" s="60" t="s">
        <v>90</v>
      </c>
    </row>
    <row r="34" spans="1:14" s="61" customFormat="1" ht="22.5" customHeight="1">
      <c r="A34" s="59" t="s">
        <v>91</v>
      </c>
      <c r="B34" s="123">
        <f>_xlfn.COMPOUNDVALUE(93)</f>
        <v>1197</v>
      </c>
      <c r="C34" s="195">
        <v>729991</v>
      </c>
      <c r="D34" s="196">
        <f>_xlfn.COMPOUNDVALUE(94)</f>
        <v>1664</v>
      </c>
      <c r="E34" s="195">
        <v>879316</v>
      </c>
      <c r="F34" s="196">
        <f>_xlfn.COMPOUNDVALUE(95)</f>
        <v>2861</v>
      </c>
      <c r="G34" s="195">
        <v>1609307</v>
      </c>
      <c r="H34" s="196">
        <f>_xlfn.COMPOUNDVALUE(96)</f>
        <v>127</v>
      </c>
      <c r="I34" s="197">
        <v>57020</v>
      </c>
      <c r="J34" s="123">
        <v>157</v>
      </c>
      <c r="K34" s="125">
        <v>12717</v>
      </c>
      <c r="L34" s="123">
        <v>3047</v>
      </c>
      <c r="M34" s="125">
        <v>1565004</v>
      </c>
      <c r="N34" s="60" t="s">
        <v>92</v>
      </c>
    </row>
    <row r="35" spans="1:14" s="61" customFormat="1" ht="22.5" customHeight="1">
      <c r="A35" s="59" t="s">
        <v>93</v>
      </c>
      <c r="B35" s="123">
        <f>_xlfn.COMPOUNDVALUE(97)</f>
        <v>600</v>
      </c>
      <c r="C35" s="195">
        <v>519461</v>
      </c>
      <c r="D35" s="196">
        <f>_xlfn.COMPOUNDVALUE(98)</f>
        <v>737</v>
      </c>
      <c r="E35" s="195">
        <v>413623</v>
      </c>
      <c r="F35" s="196">
        <f>_xlfn.COMPOUNDVALUE(99)</f>
        <v>1337</v>
      </c>
      <c r="G35" s="195">
        <v>933084</v>
      </c>
      <c r="H35" s="196">
        <f>_xlfn.COMPOUNDVALUE(100)</f>
        <v>71</v>
      </c>
      <c r="I35" s="197">
        <v>53390</v>
      </c>
      <c r="J35" s="123">
        <v>73</v>
      </c>
      <c r="K35" s="125">
        <v>10102</v>
      </c>
      <c r="L35" s="123">
        <v>1433</v>
      </c>
      <c r="M35" s="125">
        <v>889796</v>
      </c>
      <c r="N35" s="60" t="s">
        <v>94</v>
      </c>
    </row>
    <row r="36" spans="1:14" s="61" customFormat="1" ht="22.5" customHeight="1">
      <c r="A36" s="59" t="s">
        <v>95</v>
      </c>
      <c r="B36" s="123">
        <f>_xlfn.COMPOUNDVALUE(101)</f>
        <v>963</v>
      </c>
      <c r="C36" s="195">
        <v>1027595</v>
      </c>
      <c r="D36" s="196">
        <f>_xlfn.COMPOUNDVALUE(102)</f>
        <v>959</v>
      </c>
      <c r="E36" s="195">
        <v>626303</v>
      </c>
      <c r="F36" s="196">
        <f>_xlfn.COMPOUNDVALUE(103)</f>
        <v>1922</v>
      </c>
      <c r="G36" s="195">
        <v>1653898</v>
      </c>
      <c r="H36" s="196">
        <f>_xlfn.COMPOUNDVALUE(104)</f>
        <v>207</v>
      </c>
      <c r="I36" s="197">
        <v>82012</v>
      </c>
      <c r="J36" s="123">
        <v>85</v>
      </c>
      <c r="K36" s="125">
        <v>6183</v>
      </c>
      <c r="L36" s="123">
        <v>2163</v>
      </c>
      <c r="M36" s="125">
        <v>1578069</v>
      </c>
      <c r="N36" s="60" t="s">
        <v>96</v>
      </c>
    </row>
    <row r="37" spans="1:14" s="61" customFormat="1" ht="22.5" customHeight="1">
      <c r="A37" s="59" t="s">
        <v>97</v>
      </c>
      <c r="B37" s="123">
        <f>_xlfn.COMPOUNDVALUE(105)</f>
        <v>1888</v>
      </c>
      <c r="C37" s="195">
        <v>1653762</v>
      </c>
      <c r="D37" s="196">
        <f>_xlfn.COMPOUNDVALUE(106)</f>
        <v>2705</v>
      </c>
      <c r="E37" s="195">
        <v>1590488</v>
      </c>
      <c r="F37" s="196">
        <f>_xlfn.COMPOUNDVALUE(107)</f>
        <v>4593</v>
      </c>
      <c r="G37" s="195">
        <v>3244250</v>
      </c>
      <c r="H37" s="196">
        <f>_xlfn.COMPOUNDVALUE(108)</f>
        <v>255</v>
      </c>
      <c r="I37" s="197">
        <v>136417</v>
      </c>
      <c r="J37" s="123">
        <v>246</v>
      </c>
      <c r="K37" s="125">
        <v>44276</v>
      </c>
      <c r="L37" s="123">
        <v>4945</v>
      </c>
      <c r="M37" s="125">
        <v>3152109</v>
      </c>
      <c r="N37" s="60" t="s">
        <v>98</v>
      </c>
    </row>
    <row r="38" spans="1:14" s="61" customFormat="1" ht="22.5" customHeight="1">
      <c r="A38" s="59" t="s">
        <v>99</v>
      </c>
      <c r="B38" s="123">
        <f>_xlfn.COMPOUNDVALUE(109)</f>
        <v>1584</v>
      </c>
      <c r="C38" s="195">
        <v>1125468</v>
      </c>
      <c r="D38" s="196">
        <f>_xlfn.COMPOUNDVALUE(110)</f>
        <v>2201</v>
      </c>
      <c r="E38" s="195">
        <v>1131097</v>
      </c>
      <c r="F38" s="196">
        <f>_xlfn.COMPOUNDVALUE(111)</f>
        <v>3785</v>
      </c>
      <c r="G38" s="195">
        <v>2256565</v>
      </c>
      <c r="H38" s="196">
        <f>_xlfn.COMPOUNDVALUE(112)</f>
        <v>161</v>
      </c>
      <c r="I38" s="197">
        <v>133920</v>
      </c>
      <c r="J38" s="123">
        <v>222</v>
      </c>
      <c r="K38" s="125">
        <v>49328</v>
      </c>
      <c r="L38" s="123">
        <v>4084</v>
      </c>
      <c r="M38" s="125">
        <v>2171973</v>
      </c>
      <c r="N38" s="60" t="s">
        <v>100</v>
      </c>
    </row>
    <row r="39" spans="1:14" s="61" customFormat="1" ht="22.5" customHeight="1">
      <c r="A39" s="59" t="s">
        <v>101</v>
      </c>
      <c r="B39" s="123">
        <f>_xlfn.COMPOUNDVALUE(113)</f>
        <v>1237</v>
      </c>
      <c r="C39" s="195">
        <v>812495</v>
      </c>
      <c r="D39" s="196">
        <f>_xlfn.COMPOUNDVALUE(114)</f>
        <v>1709</v>
      </c>
      <c r="E39" s="195">
        <v>836789</v>
      </c>
      <c r="F39" s="196">
        <f>_xlfn.COMPOUNDVALUE(115)</f>
        <v>2946</v>
      </c>
      <c r="G39" s="195">
        <v>1649283</v>
      </c>
      <c r="H39" s="196">
        <f>_xlfn.COMPOUNDVALUE(116)</f>
        <v>205</v>
      </c>
      <c r="I39" s="197">
        <v>151390</v>
      </c>
      <c r="J39" s="123">
        <v>182</v>
      </c>
      <c r="K39" s="125">
        <v>55776</v>
      </c>
      <c r="L39" s="123">
        <v>3264</v>
      </c>
      <c r="M39" s="125">
        <v>1553669</v>
      </c>
      <c r="N39" s="60" t="s">
        <v>102</v>
      </c>
    </row>
    <row r="40" spans="1:14" s="61" customFormat="1" ht="22.5" customHeight="1">
      <c r="A40" s="59" t="s">
        <v>103</v>
      </c>
      <c r="B40" s="123">
        <f>_xlfn.COMPOUNDVALUE(117)</f>
        <v>2637</v>
      </c>
      <c r="C40" s="195">
        <v>2036347</v>
      </c>
      <c r="D40" s="196">
        <f>_xlfn.COMPOUNDVALUE(118)</f>
        <v>6687</v>
      </c>
      <c r="E40" s="195">
        <v>2755810</v>
      </c>
      <c r="F40" s="196">
        <f>_xlfn.COMPOUNDVALUE(119)</f>
        <v>9324</v>
      </c>
      <c r="G40" s="195">
        <v>4792157</v>
      </c>
      <c r="H40" s="196">
        <f>_xlfn.COMPOUNDVALUE(120)</f>
        <v>413</v>
      </c>
      <c r="I40" s="197">
        <v>344660</v>
      </c>
      <c r="J40" s="123">
        <v>440</v>
      </c>
      <c r="K40" s="125">
        <v>51349</v>
      </c>
      <c r="L40" s="123">
        <v>9919</v>
      </c>
      <c r="M40" s="125">
        <v>4498846</v>
      </c>
      <c r="N40" s="60" t="s">
        <v>104</v>
      </c>
    </row>
    <row r="41" spans="1:14" s="61" customFormat="1" ht="22.5" customHeight="1">
      <c r="A41" s="59" t="s">
        <v>105</v>
      </c>
      <c r="B41" s="123">
        <f>_xlfn.COMPOUNDVALUE(121)</f>
        <v>1333</v>
      </c>
      <c r="C41" s="195">
        <v>1030707</v>
      </c>
      <c r="D41" s="196">
        <f>_xlfn.COMPOUNDVALUE(122)</f>
        <v>2135</v>
      </c>
      <c r="E41" s="195">
        <v>1060986</v>
      </c>
      <c r="F41" s="196">
        <f>_xlfn.COMPOUNDVALUE(123)</f>
        <v>3468</v>
      </c>
      <c r="G41" s="195">
        <v>2091693</v>
      </c>
      <c r="H41" s="196">
        <f>_xlfn.COMPOUNDVALUE(124)</f>
        <v>169</v>
      </c>
      <c r="I41" s="197">
        <v>129546</v>
      </c>
      <c r="J41" s="123">
        <v>211</v>
      </c>
      <c r="K41" s="125">
        <v>39933</v>
      </c>
      <c r="L41" s="123">
        <v>3751</v>
      </c>
      <c r="M41" s="125">
        <v>2002080</v>
      </c>
      <c r="N41" s="60" t="s">
        <v>106</v>
      </c>
    </row>
    <row r="42" spans="1:14" s="61" customFormat="1" ht="22.5" customHeight="1">
      <c r="A42" s="59" t="s">
        <v>107</v>
      </c>
      <c r="B42" s="123">
        <f>_xlfn.COMPOUNDVALUE(125)</f>
        <v>1716</v>
      </c>
      <c r="C42" s="195">
        <v>1088639</v>
      </c>
      <c r="D42" s="196">
        <f>_xlfn.COMPOUNDVALUE(126)</f>
        <v>2547</v>
      </c>
      <c r="E42" s="195">
        <v>1226537</v>
      </c>
      <c r="F42" s="196">
        <f>_xlfn.COMPOUNDVALUE(127)</f>
        <v>4263</v>
      </c>
      <c r="G42" s="195">
        <v>2315176</v>
      </c>
      <c r="H42" s="196">
        <f>_xlfn.COMPOUNDVALUE(128)</f>
        <v>187</v>
      </c>
      <c r="I42" s="197">
        <v>108386</v>
      </c>
      <c r="J42" s="123">
        <v>224</v>
      </c>
      <c r="K42" s="125">
        <v>11123</v>
      </c>
      <c r="L42" s="123">
        <v>4542</v>
      </c>
      <c r="M42" s="125">
        <v>2217913</v>
      </c>
      <c r="N42" s="60" t="s">
        <v>108</v>
      </c>
    </row>
    <row r="43" spans="1:14" s="61" customFormat="1" ht="22.5" customHeight="1">
      <c r="A43" s="59" t="s">
        <v>109</v>
      </c>
      <c r="B43" s="123">
        <f>_xlfn.COMPOUNDVALUE(129)</f>
        <v>671</v>
      </c>
      <c r="C43" s="195">
        <v>466609</v>
      </c>
      <c r="D43" s="196">
        <f>_xlfn.COMPOUNDVALUE(130)</f>
        <v>1002</v>
      </c>
      <c r="E43" s="195">
        <v>482195</v>
      </c>
      <c r="F43" s="196">
        <f>_xlfn.COMPOUNDVALUE(131)</f>
        <v>1673</v>
      </c>
      <c r="G43" s="195">
        <v>948804</v>
      </c>
      <c r="H43" s="196">
        <f>_xlfn.COMPOUNDVALUE(132)</f>
        <v>58</v>
      </c>
      <c r="I43" s="197">
        <v>26647</v>
      </c>
      <c r="J43" s="123">
        <v>61</v>
      </c>
      <c r="K43" s="125">
        <v>14014</v>
      </c>
      <c r="L43" s="123">
        <v>1767</v>
      </c>
      <c r="M43" s="125">
        <v>936171</v>
      </c>
      <c r="N43" s="60" t="s">
        <v>110</v>
      </c>
    </row>
    <row r="44" spans="1:14" s="61" customFormat="1" ht="22.5" customHeight="1">
      <c r="A44" s="62" t="s">
        <v>111</v>
      </c>
      <c r="B44" s="126">
        <f>_xlfn.COMPOUNDVALUE(133)</f>
        <v>2059</v>
      </c>
      <c r="C44" s="198">
        <v>1598467</v>
      </c>
      <c r="D44" s="199">
        <f>_xlfn.COMPOUNDVALUE(134)</f>
        <v>3277</v>
      </c>
      <c r="E44" s="198">
        <v>1535681</v>
      </c>
      <c r="F44" s="199">
        <f>_xlfn.COMPOUNDVALUE(135)</f>
        <v>5336</v>
      </c>
      <c r="G44" s="198">
        <v>3134148</v>
      </c>
      <c r="H44" s="199">
        <f>_xlfn.COMPOUNDVALUE(136)</f>
        <v>271</v>
      </c>
      <c r="I44" s="200">
        <v>156635</v>
      </c>
      <c r="J44" s="126">
        <v>292</v>
      </c>
      <c r="K44" s="128">
        <v>48119</v>
      </c>
      <c r="L44" s="126">
        <v>5763</v>
      </c>
      <c r="M44" s="128">
        <v>3025632</v>
      </c>
      <c r="N44" s="63" t="s">
        <v>112</v>
      </c>
    </row>
    <row r="45" spans="1:14" s="61" customFormat="1" ht="22.5" customHeight="1">
      <c r="A45" s="62" t="s">
        <v>113</v>
      </c>
      <c r="B45" s="126">
        <f>_xlfn.COMPOUNDVALUE(137)</f>
        <v>1324</v>
      </c>
      <c r="C45" s="198">
        <v>892141</v>
      </c>
      <c r="D45" s="199">
        <f>_xlfn.COMPOUNDVALUE(138)</f>
        <v>1958</v>
      </c>
      <c r="E45" s="198">
        <v>889370</v>
      </c>
      <c r="F45" s="199">
        <f>_xlfn.COMPOUNDVALUE(139)</f>
        <v>3282</v>
      </c>
      <c r="G45" s="198">
        <v>1781511</v>
      </c>
      <c r="H45" s="199">
        <f>_xlfn.COMPOUNDVALUE(140)</f>
        <v>156</v>
      </c>
      <c r="I45" s="200">
        <v>104149</v>
      </c>
      <c r="J45" s="126">
        <v>202</v>
      </c>
      <c r="K45" s="128">
        <v>240640</v>
      </c>
      <c r="L45" s="126">
        <v>3546</v>
      </c>
      <c r="M45" s="128">
        <v>1918002</v>
      </c>
      <c r="N45" s="63" t="s">
        <v>114</v>
      </c>
    </row>
    <row r="46" spans="1:14" s="61" customFormat="1" ht="22.5" customHeight="1">
      <c r="A46" s="62" t="s">
        <v>115</v>
      </c>
      <c r="B46" s="126">
        <f>_xlfn.COMPOUNDVALUE(141)</f>
        <v>1670</v>
      </c>
      <c r="C46" s="198">
        <v>1340754</v>
      </c>
      <c r="D46" s="199">
        <f>_xlfn.COMPOUNDVALUE(142)</f>
        <v>2619</v>
      </c>
      <c r="E46" s="198">
        <v>1253750</v>
      </c>
      <c r="F46" s="199">
        <f>_xlfn.COMPOUNDVALUE(143)</f>
        <v>4289</v>
      </c>
      <c r="G46" s="198">
        <v>2594504</v>
      </c>
      <c r="H46" s="199">
        <f>_xlfn.COMPOUNDVALUE(144)</f>
        <v>190</v>
      </c>
      <c r="I46" s="200">
        <v>131394</v>
      </c>
      <c r="J46" s="126">
        <v>274</v>
      </c>
      <c r="K46" s="128">
        <v>26498</v>
      </c>
      <c r="L46" s="126">
        <v>4629</v>
      </c>
      <c r="M46" s="128">
        <v>2489608</v>
      </c>
      <c r="N46" s="63" t="s">
        <v>116</v>
      </c>
    </row>
    <row r="47" spans="1:14" s="61" customFormat="1" ht="22.5" customHeight="1">
      <c r="A47" s="62" t="s">
        <v>117</v>
      </c>
      <c r="B47" s="126">
        <f>_xlfn.COMPOUNDVALUE(145)</f>
        <v>1205</v>
      </c>
      <c r="C47" s="198">
        <v>890752</v>
      </c>
      <c r="D47" s="199">
        <f>_xlfn.COMPOUNDVALUE(146)</f>
        <v>1806</v>
      </c>
      <c r="E47" s="198">
        <v>900376</v>
      </c>
      <c r="F47" s="199">
        <f>_xlfn.COMPOUNDVALUE(147)</f>
        <v>3011</v>
      </c>
      <c r="G47" s="198">
        <v>1791128</v>
      </c>
      <c r="H47" s="199">
        <f>_xlfn.COMPOUNDVALUE(148)</f>
        <v>160</v>
      </c>
      <c r="I47" s="200">
        <v>124553</v>
      </c>
      <c r="J47" s="126">
        <v>161</v>
      </c>
      <c r="K47" s="128">
        <v>31283</v>
      </c>
      <c r="L47" s="126">
        <v>3278</v>
      </c>
      <c r="M47" s="128">
        <v>1697858</v>
      </c>
      <c r="N47" s="63" t="s">
        <v>118</v>
      </c>
    </row>
    <row r="48" spans="1:14" s="61" customFormat="1" ht="22.5" customHeight="1">
      <c r="A48" s="62" t="s">
        <v>119</v>
      </c>
      <c r="B48" s="126">
        <f>_xlfn.COMPOUNDVALUE(149)</f>
        <v>722</v>
      </c>
      <c r="C48" s="198">
        <v>683813</v>
      </c>
      <c r="D48" s="199">
        <f>_xlfn.COMPOUNDVALUE(150)</f>
        <v>1399</v>
      </c>
      <c r="E48" s="198">
        <v>656891</v>
      </c>
      <c r="F48" s="199">
        <f>_xlfn.COMPOUNDVALUE(151)</f>
        <v>2121</v>
      </c>
      <c r="G48" s="198">
        <v>1340704</v>
      </c>
      <c r="H48" s="199">
        <f>_xlfn.COMPOUNDVALUE(152)</f>
        <v>108</v>
      </c>
      <c r="I48" s="200">
        <v>88417</v>
      </c>
      <c r="J48" s="126">
        <v>75</v>
      </c>
      <c r="K48" s="128">
        <v>23891</v>
      </c>
      <c r="L48" s="126">
        <v>2280</v>
      </c>
      <c r="M48" s="128">
        <v>1276179</v>
      </c>
      <c r="N48" s="63" t="s">
        <v>120</v>
      </c>
    </row>
    <row r="49" spans="1:14" s="61" customFormat="1" ht="22.5" customHeight="1">
      <c r="A49" s="62" t="s">
        <v>121</v>
      </c>
      <c r="B49" s="126">
        <f>_xlfn.COMPOUNDVALUE(153)</f>
        <v>2109</v>
      </c>
      <c r="C49" s="198">
        <v>1376434</v>
      </c>
      <c r="D49" s="199">
        <f>_xlfn.COMPOUNDVALUE(154)</f>
        <v>3020</v>
      </c>
      <c r="E49" s="198">
        <v>1491353</v>
      </c>
      <c r="F49" s="199">
        <f>_xlfn.COMPOUNDVALUE(155)</f>
        <v>5129</v>
      </c>
      <c r="G49" s="198">
        <v>2867787</v>
      </c>
      <c r="H49" s="199">
        <f>_xlfn.COMPOUNDVALUE(156)</f>
        <v>245</v>
      </c>
      <c r="I49" s="200">
        <v>224338</v>
      </c>
      <c r="J49" s="126">
        <v>442</v>
      </c>
      <c r="K49" s="128">
        <v>49925</v>
      </c>
      <c r="L49" s="126">
        <v>5570</v>
      </c>
      <c r="M49" s="128">
        <v>2693374</v>
      </c>
      <c r="N49" s="63" t="s">
        <v>122</v>
      </c>
    </row>
    <row r="50" spans="1:14" s="61" customFormat="1" ht="22.5" customHeight="1">
      <c r="A50" s="148" t="s">
        <v>123</v>
      </c>
      <c r="B50" s="149">
        <f>_xlfn.COMPOUNDVALUE(157)</f>
        <v>174</v>
      </c>
      <c r="C50" s="201">
        <v>108140</v>
      </c>
      <c r="D50" s="202">
        <f>_xlfn.COMPOUNDVALUE(158)</f>
        <v>380</v>
      </c>
      <c r="E50" s="201">
        <v>146024</v>
      </c>
      <c r="F50" s="202">
        <f>_xlfn.COMPOUNDVALUE(159)</f>
        <v>554</v>
      </c>
      <c r="G50" s="201">
        <v>254164</v>
      </c>
      <c r="H50" s="202">
        <f>_xlfn.COMPOUNDVALUE(160)</f>
        <v>23</v>
      </c>
      <c r="I50" s="203">
        <v>5870</v>
      </c>
      <c r="J50" s="149">
        <v>32</v>
      </c>
      <c r="K50" s="151">
        <v>5343</v>
      </c>
      <c r="L50" s="149">
        <v>590</v>
      </c>
      <c r="M50" s="151">
        <v>253637</v>
      </c>
      <c r="N50" s="152" t="s">
        <v>124</v>
      </c>
    </row>
    <row r="51" spans="1:14" s="61" customFormat="1" ht="22.5" customHeight="1">
      <c r="A51" s="153" t="s">
        <v>125</v>
      </c>
      <c r="B51" s="154">
        <v>26031</v>
      </c>
      <c r="C51" s="155">
        <v>19747561</v>
      </c>
      <c r="D51" s="154">
        <v>40644</v>
      </c>
      <c r="E51" s="155">
        <v>20174647</v>
      </c>
      <c r="F51" s="154">
        <v>66675</v>
      </c>
      <c r="G51" s="155">
        <v>39922207</v>
      </c>
      <c r="H51" s="154">
        <v>3412</v>
      </c>
      <c r="I51" s="156">
        <v>2372041</v>
      </c>
      <c r="J51" s="154">
        <v>3785</v>
      </c>
      <c r="K51" s="156">
        <v>781233</v>
      </c>
      <c r="L51" s="154">
        <v>71968</v>
      </c>
      <c r="M51" s="156">
        <v>38331399</v>
      </c>
      <c r="N51" s="157" t="s">
        <v>126</v>
      </c>
    </row>
    <row r="52" spans="1:14" s="61" customFormat="1" ht="22.5" customHeight="1">
      <c r="A52" s="158"/>
      <c r="B52" s="159"/>
      <c r="C52" s="160"/>
      <c r="D52" s="159"/>
      <c r="E52" s="160"/>
      <c r="F52" s="161"/>
      <c r="G52" s="160"/>
      <c r="H52" s="161"/>
      <c r="I52" s="160"/>
      <c r="J52" s="161"/>
      <c r="K52" s="160"/>
      <c r="L52" s="161"/>
      <c r="M52" s="160"/>
      <c r="N52" s="162"/>
    </row>
    <row r="53" spans="1:14" s="61" customFormat="1" ht="22.5" customHeight="1">
      <c r="A53" s="59" t="s">
        <v>127</v>
      </c>
      <c r="B53" s="123">
        <f>_xlfn.COMPOUNDVALUE(161)</f>
        <v>959</v>
      </c>
      <c r="C53" s="195">
        <v>713616</v>
      </c>
      <c r="D53" s="196">
        <f>_xlfn.COMPOUNDVALUE(162)</f>
        <v>1339</v>
      </c>
      <c r="E53" s="195">
        <v>682718</v>
      </c>
      <c r="F53" s="196">
        <f>_xlfn.COMPOUNDVALUE(163)</f>
        <v>2298</v>
      </c>
      <c r="G53" s="195">
        <v>1396334</v>
      </c>
      <c r="H53" s="196">
        <f>_xlfn.COMPOUNDVALUE(164)</f>
        <v>105</v>
      </c>
      <c r="I53" s="197">
        <v>51420</v>
      </c>
      <c r="J53" s="123">
        <v>145</v>
      </c>
      <c r="K53" s="125">
        <v>23713</v>
      </c>
      <c r="L53" s="123">
        <v>2460</v>
      </c>
      <c r="M53" s="125">
        <v>1368627</v>
      </c>
      <c r="N53" s="60" t="s">
        <v>128</v>
      </c>
    </row>
    <row r="54" spans="1:14" s="61" customFormat="1" ht="22.5" customHeight="1">
      <c r="A54" s="62" t="s">
        <v>129</v>
      </c>
      <c r="B54" s="126">
        <f>_xlfn.COMPOUNDVALUE(165)</f>
        <v>1392</v>
      </c>
      <c r="C54" s="198">
        <v>1169862</v>
      </c>
      <c r="D54" s="199">
        <f>_xlfn.COMPOUNDVALUE(166)</f>
        <v>1969</v>
      </c>
      <c r="E54" s="198">
        <v>1029949</v>
      </c>
      <c r="F54" s="199">
        <f>_xlfn.COMPOUNDVALUE(167)</f>
        <v>3361</v>
      </c>
      <c r="G54" s="198">
        <v>2199811</v>
      </c>
      <c r="H54" s="199">
        <f>_xlfn.COMPOUNDVALUE(168)</f>
        <v>158</v>
      </c>
      <c r="I54" s="200">
        <v>86849</v>
      </c>
      <c r="J54" s="126">
        <v>187</v>
      </c>
      <c r="K54" s="128">
        <v>29639</v>
      </c>
      <c r="L54" s="126">
        <v>3611</v>
      </c>
      <c r="M54" s="128">
        <v>2142601</v>
      </c>
      <c r="N54" s="63" t="s">
        <v>130</v>
      </c>
    </row>
    <row r="55" spans="1:14" s="61" customFormat="1" ht="22.5" customHeight="1">
      <c r="A55" s="62" t="s">
        <v>131</v>
      </c>
      <c r="B55" s="126">
        <f>_xlfn.COMPOUNDVALUE(169)</f>
        <v>1174</v>
      </c>
      <c r="C55" s="198">
        <v>784593</v>
      </c>
      <c r="D55" s="199">
        <f>_xlfn.COMPOUNDVALUE(170)</f>
        <v>1578</v>
      </c>
      <c r="E55" s="198">
        <v>640706</v>
      </c>
      <c r="F55" s="199">
        <f>_xlfn.COMPOUNDVALUE(171)</f>
        <v>2752</v>
      </c>
      <c r="G55" s="198">
        <v>1425299</v>
      </c>
      <c r="H55" s="199">
        <f>_xlfn.COMPOUNDVALUE(172)</f>
        <v>164</v>
      </c>
      <c r="I55" s="200">
        <v>89712</v>
      </c>
      <c r="J55" s="126">
        <v>135</v>
      </c>
      <c r="K55" s="128">
        <v>21804</v>
      </c>
      <c r="L55" s="126">
        <v>2993</v>
      </c>
      <c r="M55" s="128">
        <v>1357390</v>
      </c>
      <c r="N55" s="63" t="s">
        <v>132</v>
      </c>
    </row>
    <row r="56" spans="1:14" s="61" customFormat="1" ht="22.5" customHeight="1">
      <c r="A56" s="62" t="s">
        <v>133</v>
      </c>
      <c r="B56" s="126">
        <f>_xlfn.COMPOUNDVALUE(173)</f>
        <v>884</v>
      </c>
      <c r="C56" s="198">
        <v>646126</v>
      </c>
      <c r="D56" s="199">
        <f>_xlfn.COMPOUNDVALUE(174)</f>
        <v>1147</v>
      </c>
      <c r="E56" s="198">
        <v>517501</v>
      </c>
      <c r="F56" s="199">
        <f>_xlfn.COMPOUNDVALUE(175)</f>
        <v>2031</v>
      </c>
      <c r="G56" s="198">
        <v>1163626</v>
      </c>
      <c r="H56" s="199">
        <f>_xlfn.COMPOUNDVALUE(176)</f>
        <v>129</v>
      </c>
      <c r="I56" s="200">
        <v>87047</v>
      </c>
      <c r="J56" s="126">
        <v>114</v>
      </c>
      <c r="K56" s="128">
        <v>18576</v>
      </c>
      <c r="L56" s="126">
        <v>2205</v>
      </c>
      <c r="M56" s="128">
        <v>1095155</v>
      </c>
      <c r="N56" s="63" t="s">
        <v>134</v>
      </c>
    </row>
    <row r="57" spans="1:14" s="61" customFormat="1" ht="22.5" customHeight="1">
      <c r="A57" s="62" t="s">
        <v>135</v>
      </c>
      <c r="B57" s="126">
        <f>_xlfn.COMPOUNDVALUE(177)</f>
        <v>684</v>
      </c>
      <c r="C57" s="198">
        <v>525760</v>
      </c>
      <c r="D57" s="199">
        <f>_xlfn.COMPOUNDVALUE(178)</f>
        <v>1083</v>
      </c>
      <c r="E57" s="198">
        <v>495401</v>
      </c>
      <c r="F57" s="199">
        <f>_xlfn.COMPOUNDVALUE(179)</f>
        <v>1767</v>
      </c>
      <c r="G57" s="198">
        <v>1021161</v>
      </c>
      <c r="H57" s="199">
        <f>_xlfn.COMPOUNDVALUE(180)</f>
        <v>97</v>
      </c>
      <c r="I57" s="200">
        <v>58180</v>
      </c>
      <c r="J57" s="126">
        <v>58</v>
      </c>
      <c r="K57" s="128">
        <v>4434</v>
      </c>
      <c r="L57" s="126">
        <v>1897</v>
      </c>
      <c r="M57" s="128">
        <v>967415</v>
      </c>
      <c r="N57" s="63" t="s">
        <v>136</v>
      </c>
    </row>
    <row r="58" spans="1:14" s="61" customFormat="1" ht="22.5" customHeight="1">
      <c r="A58" s="62" t="s">
        <v>137</v>
      </c>
      <c r="B58" s="126">
        <f>_xlfn.COMPOUNDVALUE(181)</f>
        <v>608</v>
      </c>
      <c r="C58" s="198">
        <v>390689</v>
      </c>
      <c r="D58" s="199">
        <f>_xlfn.COMPOUNDVALUE(182)</f>
        <v>652</v>
      </c>
      <c r="E58" s="198">
        <v>294695</v>
      </c>
      <c r="F58" s="199">
        <f>_xlfn.COMPOUNDVALUE(183)</f>
        <v>1260</v>
      </c>
      <c r="G58" s="198">
        <v>685384</v>
      </c>
      <c r="H58" s="199">
        <f>_xlfn.COMPOUNDVALUE(184)</f>
        <v>84</v>
      </c>
      <c r="I58" s="200">
        <v>52108</v>
      </c>
      <c r="J58" s="126">
        <v>82</v>
      </c>
      <c r="K58" s="128">
        <v>14251</v>
      </c>
      <c r="L58" s="126">
        <v>1396</v>
      </c>
      <c r="M58" s="128">
        <v>647527</v>
      </c>
      <c r="N58" s="63" t="s">
        <v>138</v>
      </c>
    </row>
    <row r="59" spans="1:14" s="61" customFormat="1" ht="22.5" customHeight="1">
      <c r="A59" s="62" t="s">
        <v>139</v>
      </c>
      <c r="B59" s="199">
        <f>_xlfn.COMPOUNDVALUE(185)</f>
        <v>899</v>
      </c>
      <c r="C59" s="198">
        <v>690865</v>
      </c>
      <c r="D59" s="199">
        <f>_xlfn.COMPOUNDVALUE(186)</f>
        <v>1347</v>
      </c>
      <c r="E59" s="198">
        <v>648460</v>
      </c>
      <c r="F59" s="199">
        <f>_xlfn.COMPOUNDVALUE(187)</f>
        <v>2246</v>
      </c>
      <c r="G59" s="198">
        <v>1339325</v>
      </c>
      <c r="H59" s="199">
        <f>_xlfn.COMPOUNDVALUE(188)</f>
        <v>132</v>
      </c>
      <c r="I59" s="200">
        <v>62750</v>
      </c>
      <c r="J59" s="126">
        <v>101</v>
      </c>
      <c r="K59" s="128">
        <v>15928</v>
      </c>
      <c r="L59" s="126">
        <v>2410</v>
      </c>
      <c r="M59" s="128">
        <v>1292503</v>
      </c>
      <c r="N59" s="63" t="s">
        <v>140</v>
      </c>
    </row>
    <row r="60" spans="1:14" s="61" customFormat="1" ht="22.5" customHeight="1">
      <c r="A60" s="148" t="s">
        <v>141</v>
      </c>
      <c r="B60" s="202">
        <f>_xlfn.COMPOUNDVALUE(189)</f>
        <v>391</v>
      </c>
      <c r="C60" s="201">
        <v>310530</v>
      </c>
      <c r="D60" s="202">
        <f>_xlfn.COMPOUNDVALUE(190)</f>
        <v>574</v>
      </c>
      <c r="E60" s="201">
        <v>242098</v>
      </c>
      <c r="F60" s="202">
        <f>_xlfn.COMPOUNDVALUE(191)</f>
        <v>965</v>
      </c>
      <c r="G60" s="201">
        <v>552628</v>
      </c>
      <c r="H60" s="202">
        <f>_xlfn.COMPOUNDVALUE(192)</f>
        <v>52</v>
      </c>
      <c r="I60" s="203">
        <v>36815</v>
      </c>
      <c r="J60" s="149">
        <v>46</v>
      </c>
      <c r="K60" s="151">
        <v>7414</v>
      </c>
      <c r="L60" s="149">
        <v>1034</v>
      </c>
      <c r="M60" s="151">
        <v>523227</v>
      </c>
      <c r="N60" s="152" t="s">
        <v>142</v>
      </c>
    </row>
    <row r="61" spans="1:14" s="61" customFormat="1" ht="22.5" customHeight="1">
      <c r="A61" s="153" t="s">
        <v>143</v>
      </c>
      <c r="B61" s="204">
        <v>6991</v>
      </c>
      <c r="C61" s="205">
        <v>5232041</v>
      </c>
      <c r="D61" s="204">
        <v>9689</v>
      </c>
      <c r="E61" s="205">
        <v>4551526</v>
      </c>
      <c r="F61" s="204">
        <v>16680</v>
      </c>
      <c r="G61" s="205">
        <v>9783567</v>
      </c>
      <c r="H61" s="204">
        <v>921</v>
      </c>
      <c r="I61" s="206">
        <v>524881</v>
      </c>
      <c r="J61" s="154">
        <v>868</v>
      </c>
      <c r="K61" s="156">
        <v>135759</v>
      </c>
      <c r="L61" s="154">
        <v>18006</v>
      </c>
      <c r="M61" s="156">
        <v>9394445</v>
      </c>
      <c r="N61" s="157" t="s">
        <v>144</v>
      </c>
    </row>
    <row r="62" spans="1:14" s="61" customFormat="1" ht="22.5" customHeight="1" thickBot="1">
      <c r="A62" s="64"/>
      <c r="B62" s="208"/>
      <c r="C62" s="207"/>
      <c r="D62" s="208"/>
      <c r="E62" s="207"/>
      <c r="F62" s="209"/>
      <c r="G62" s="207"/>
      <c r="H62" s="209"/>
      <c r="I62" s="207"/>
      <c r="J62" s="164"/>
      <c r="K62" s="163"/>
      <c r="L62" s="164"/>
      <c r="M62" s="163"/>
      <c r="N62" s="65"/>
    </row>
    <row r="63" spans="1:14" s="61" customFormat="1" ht="22.5" customHeight="1" thickBot="1" thickTop="1">
      <c r="A63" s="66" t="s">
        <v>38</v>
      </c>
      <c r="B63" s="211">
        <v>53470</v>
      </c>
      <c r="C63" s="210">
        <v>39377626</v>
      </c>
      <c r="D63" s="211">
        <v>87199</v>
      </c>
      <c r="E63" s="210">
        <v>41706778</v>
      </c>
      <c r="F63" s="211">
        <v>140669</v>
      </c>
      <c r="G63" s="210">
        <v>81084404</v>
      </c>
      <c r="H63" s="211">
        <v>6875</v>
      </c>
      <c r="I63" s="212">
        <v>4759151</v>
      </c>
      <c r="J63" s="133">
        <v>7596</v>
      </c>
      <c r="K63" s="135">
        <v>1343262</v>
      </c>
      <c r="L63" s="133">
        <v>151063</v>
      </c>
      <c r="M63" s="135">
        <v>77668515</v>
      </c>
      <c r="N63" s="67" t="s">
        <v>39</v>
      </c>
    </row>
    <row r="64" spans="1:14" s="97" customFormat="1" ht="3" customHeight="1">
      <c r="A64" s="95"/>
      <c r="B64" s="96"/>
      <c r="C64" s="96"/>
      <c r="D64" s="96"/>
      <c r="E64" s="96"/>
      <c r="F64" s="96"/>
      <c r="G64" s="96"/>
      <c r="H64" s="96"/>
      <c r="I64" s="96"/>
      <c r="J64" s="96"/>
      <c r="K64" s="96"/>
      <c r="L64" s="96"/>
      <c r="M64" s="96"/>
      <c r="N64" s="95"/>
    </row>
    <row r="65" spans="1:14" ht="22.5" customHeight="1">
      <c r="A65" s="270" t="s">
        <v>216</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G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消費税（R02）</oddFooter>
  </headerFooter>
</worksheet>
</file>

<file path=xl/worksheets/sheet5.xml><?xml version="1.0" encoding="utf-8"?>
<worksheet xmlns="http://schemas.openxmlformats.org/spreadsheetml/2006/main" xmlns:r="http://schemas.openxmlformats.org/officeDocument/2006/relationships">
  <dimension ref="A1:N65"/>
  <sheetViews>
    <sheetView showGridLines="0" zoomScale="85" zoomScaleNormal="85" zoomScaleSheetLayoutView="100" workbookViewId="0" topLeftCell="A64">
      <selection activeCell="H82" sqref="H82"/>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2.75">
      <c r="A1" s="49" t="s">
        <v>220</v>
      </c>
      <c r="B1" s="49"/>
      <c r="C1" s="49"/>
      <c r="D1" s="49"/>
      <c r="E1" s="49"/>
      <c r="F1" s="49"/>
      <c r="G1" s="49"/>
      <c r="H1" s="49"/>
      <c r="I1" s="49"/>
      <c r="J1" s="49"/>
      <c r="K1" s="49"/>
      <c r="L1" s="50"/>
      <c r="M1" s="50"/>
      <c r="N1" s="68"/>
    </row>
    <row r="2" spans="1:14" ht="13.5" thickBot="1">
      <c r="A2" s="290" t="s">
        <v>145</v>
      </c>
      <c r="B2" s="290"/>
      <c r="C2" s="290"/>
      <c r="D2" s="290"/>
      <c r="E2" s="290"/>
      <c r="F2" s="290"/>
      <c r="G2" s="290"/>
      <c r="H2" s="290"/>
      <c r="I2" s="290"/>
      <c r="J2" s="49"/>
      <c r="K2" s="49"/>
      <c r="L2" s="50"/>
      <c r="M2" s="50"/>
      <c r="N2" s="68"/>
    </row>
    <row r="3" spans="1:14" ht="22.5" customHeight="1">
      <c r="A3" s="271" t="s">
        <v>150</v>
      </c>
      <c r="B3" s="274" t="s">
        <v>151</v>
      </c>
      <c r="C3" s="274"/>
      <c r="D3" s="274"/>
      <c r="E3" s="274"/>
      <c r="F3" s="274"/>
      <c r="G3" s="274"/>
      <c r="H3" s="275" t="s">
        <v>12</v>
      </c>
      <c r="I3" s="276"/>
      <c r="J3" s="279" t="s">
        <v>33</v>
      </c>
      <c r="K3" s="276"/>
      <c r="L3" s="280" t="s">
        <v>34</v>
      </c>
      <c r="M3" s="281"/>
      <c r="N3" s="284" t="s">
        <v>146</v>
      </c>
    </row>
    <row r="4" spans="1:14" ht="18.75" customHeight="1">
      <c r="A4" s="272"/>
      <c r="B4" s="277" t="s">
        <v>14</v>
      </c>
      <c r="C4" s="288"/>
      <c r="D4" s="277" t="s">
        <v>36</v>
      </c>
      <c r="E4" s="288"/>
      <c r="F4" s="282" t="s">
        <v>37</v>
      </c>
      <c r="G4" s="289"/>
      <c r="H4" s="277"/>
      <c r="I4" s="278"/>
      <c r="J4" s="277"/>
      <c r="K4" s="278"/>
      <c r="L4" s="282"/>
      <c r="M4" s="283"/>
      <c r="N4" s="285"/>
    </row>
    <row r="5" spans="1:14" ht="33.75" customHeight="1">
      <c r="A5" s="273"/>
      <c r="B5" s="143" t="s">
        <v>215</v>
      </c>
      <c r="C5" s="51" t="s">
        <v>152</v>
      </c>
      <c r="D5" s="143" t="s">
        <v>215</v>
      </c>
      <c r="E5" s="51" t="s">
        <v>152</v>
      </c>
      <c r="F5" s="143" t="s">
        <v>215</v>
      </c>
      <c r="G5" s="52" t="s">
        <v>212</v>
      </c>
      <c r="H5" s="143" t="s">
        <v>215</v>
      </c>
      <c r="I5" s="52" t="s">
        <v>213</v>
      </c>
      <c r="J5" s="143" t="s">
        <v>215</v>
      </c>
      <c r="K5" s="52" t="s">
        <v>214</v>
      </c>
      <c r="L5" s="143" t="s">
        <v>215</v>
      </c>
      <c r="M5" s="52" t="s">
        <v>153</v>
      </c>
      <c r="N5" s="286"/>
    </row>
    <row r="6" spans="1:14" s="69" customFormat="1" ht="9">
      <c r="A6" s="53"/>
      <c r="B6" s="54" t="s">
        <v>4</v>
      </c>
      <c r="C6" s="55" t="s">
        <v>5</v>
      </c>
      <c r="D6" s="54" t="s">
        <v>4</v>
      </c>
      <c r="E6" s="55" t="s">
        <v>5</v>
      </c>
      <c r="F6" s="54" t="s">
        <v>4</v>
      </c>
      <c r="G6" s="55" t="s">
        <v>5</v>
      </c>
      <c r="H6" s="54" t="s">
        <v>4</v>
      </c>
      <c r="I6" s="56" t="s">
        <v>5</v>
      </c>
      <c r="J6" s="54" t="s">
        <v>4</v>
      </c>
      <c r="K6" s="56" t="s">
        <v>5</v>
      </c>
      <c r="L6" s="54" t="s">
        <v>218</v>
      </c>
      <c r="M6" s="56" t="s">
        <v>5</v>
      </c>
      <c r="N6" s="57"/>
    </row>
    <row r="7" spans="1:14" ht="22.5" customHeight="1">
      <c r="A7" s="59" t="s">
        <v>154</v>
      </c>
      <c r="B7" s="123">
        <f>_xlfn.COMPOUNDVALUE(193)</f>
        <v>4500</v>
      </c>
      <c r="C7" s="124">
        <v>36386354</v>
      </c>
      <c r="D7" s="123">
        <f>_xlfn.COMPOUNDVALUE(194)</f>
        <v>1707</v>
      </c>
      <c r="E7" s="124">
        <v>1195699</v>
      </c>
      <c r="F7" s="123">
        <f>_xlfn.COMPOUNDVALUE(195)</f>
        <v>6207</v>
      </c>
      <c r="G7" s="124">
        <v>37582053</v>
      </c>
      <c r="H7" s="123">
        <f>_xlfn.COMPOUNDVALUE(196)</f>
        <v>406</v>
      </c>
      <c r="I7" s="125">
        <v>1431601</v>
      </c>
      <c r="J7" s="123">
        <v>193</v>
      </c>
      <c r="K7" s="125">
        <v>35916</v>
      </c>
      <c r="L7" s="123">
        <v>6681</v>
      </c>
      <c r="M7" s="125">
        <v>36186369</v>
      </c>
      <c r="N7" s="60" t="s">
        <v>42</v>
      </c>
    </row>
    <row r="8" spans="1:14" ht="22.5" customHeight="1">
      <c r="A8" s="62" t="s">
        <v>160</v>
      </c>
      <c r="B8" s="126">
        <f>_xlfn.COMPOUNDVALUE(197)</f>
        <v>4365</v>
      </c>
      <c r="C8" s="127">
        <v>42088518</v>
      </c>
      <c r="D8" s="126">
        <f>_xlfn.COMPOUNDVALUE(198)</f>
        <v>1440</v>
      </c>
      <c r="E8" s="127">
        <v>1035465</v>
      </c>
      <c r="F8" s="126">
        <f>_xlfn.COMPOUNDVALUE(199)</f>
        <v>5805</v>
      </c>
      <c r="G8" s="127">
        <v>43123982</v>
      </c>
      <c r="H8" s="126">
        <f>_xlfn.COMPOUNDVALUE(200)</f>
        <v>386</v>
      </c>
      <c r="I8" s="128">
        <v>1747061</v>
      </c>
      <c r="J8" s="126">
        <v>244</v>
      </c>
      <c r="K8" s="128">
        <v>-5017</v>
      </c>
      <c r="L8" s="126">
        <v>6231</v>
      </c>
      <c r="M8" s="128">
        <v>41371904</v>
      </c>
      <c r="N8" s="63" t="s">
        <v>44</v>
      </c>
    </row>
    <row r="9" spans="1:14" ht="22.5" customHeight="1">
      <c r="A9" s="62" t="s">
        <v>161</v>
      </c>
      <c r="B9" s="126">
        <f>_xlfn.COMPOUNDVALUE(201)</f>
        <v>3423</v>
      </c>
      <c r="C9" s="127">
        <v>43521146</v>
      </c>
      <c r="D9" s="126">
        <f>_xlfn.COMPOUNDVALUE(202)</f>
        <v>1173</v>
      </c>
      <c r="E9" s="127">
        <v>829107</v>
      </c>
      <c r="F9" s="126">
        <f>_xlfn.COMPOUNDVALUE(203)</f>
        <v>4596</v>
      </c>
      <c r="G9" s="127">
        <v>44350253</v>
      </c>
      <c r="H9" s="126">
        <f>_xlfn.COMPOUNDVALUE(204)</f>
        <v>396</v>
      </c>
      <c r="I9" s="128">
        <v>14735191</v>
      </c>
      <c r="J9" s="126">
        <v>166</v>
      </c>
      <c r="K9" s="128">
        <v>-30463</v>
      </c>
      <c r="L9" s="126">
        <v>5014</v>
      </c>
      <c r="M9" s="128">
        <v>29584598</v>
      </c>
      <c r="N9" s="63" t="s">
        <v>46</v>
      </c>
    </row>
    <row r="10" spans="1:14" ht="22.5" customHeight="1">
      <c r="A10" s="62" t="s">
        <v>162</v>
      </c>
      <c r="B10" s="126">
        <f>_xlfn.COMPOUNDVALUE(205)</f>
        <v>1872</v>
      </c>
      <c r="C10" s="127">
        <v>11720317</v>
      </c>
      <c r="D10" s="126">
        <f>_xlfn.COMPOUNDVALUE(206)</f>
        <v>778</v>
      </c>
      <c r="E10" s="127">
        <v>479170</v>
      </c>
      <c r="F10" s="126">
        <f>_xlfn.COMPOUNDVALUE(207)</f>
        <v>2650</v>
      </c>
      <c r="G10" s="127">
        <v>12199487</v>
      </c>
      <c r="H10" s="126">
        <f>_xlfn.COMPOUNDVALUE(208)</f>
        <v>186</v>
      </c>
      <c r="I10" s="128">
        <v>589405</v>
      </c>
      <c r="J10" s="126">
        <v>81</v>
      </c>
      <c r="K10" s="128">
        <v>20411</v>
      </c>
      <c r="L10" s="126">
        <v>2855</v>
      </c>
      <c r="M10" s="128">
        <v>11630492</v>
      </c>
      <c r="N10" s="63" t="s">
        <v>48</v>
      </c>
    </row>
    <row r="11" spans="1:14" ht="22.5" customHeight="1">
      <c r="A11" s="62" t="s">
        <v>163</v>
      </c>
      <c r="B11" s="126">
        <f>_xlfn.COMPOUNDVALUE(209)</f>
        <v>2922</v>
      </c>
      <c r="C11" s="127">
        <v>25644052</v>
      </c>
      <c r="D11" s="126">
        <f>_xlfn.COMPOUNDVALUE(210)</f>
        <v>1299</v>
      </c>
      <c r="E11" s="127">
        <v>823460</v>
      </c>
      <c r="F11" s="126">
        <f>_xlfn.COMPOUNDVALUE(211)</f>
        <v>4221</v>
      </c>
      <c r="G11" s="127">
        <v>26467512</v>
      </c>
      <c r="H11" s="126">
        <f>_xlfn.COMPOUNDVALUE(212)</f>
        <v>269</v>
      </c>
      <c r="I11" s="128">
        <v>1042972</v>
      </c>
      <c r="J11" s="126">
        <v>90</v>
      </c>
      <c r="K11" s="128">
        <v>30693</v>
      </c>
      <c r="L11" s="126">
        <v>4504</v>
      </c>
      <c r="M11" s="128">
        <v>25455232</v>
      </c>
      <c r="N11" s="63" t="s">
        <v>50</v>
      </c>
    </row>
    <row r="12" spans="1:14" ht="22.5" customHeight="1">
      <c r="A12" s="62" t="s">
        <v>164</v>
      </c>
      <c r="B12" s="126">
        <f>_xlfn.COMPOUNDVALUE(213)</f>
        <v>2768</v>
      </c>
      <c r="C12" s="127">
        <v>23128762</v>
      </c>
      <c r="D12" s="126">
        <f>_xlfn.COMPOUNDVALUE(214)</f>
        <v>972</v>
      </c>
      <c r="E12" s="127">
        <v>627455</v>
      </c>
      <c r="F12" s="126">
        <f>_xlfn.COMPOUNDVALUE(215)</f>
        <v>3740</v>
      </c>
      <c r="G12" s="127">
        <v>23756217</v>
      </c>
      <c r="H12" s="126">
        <f>_xlfn.COMPOUNDVALUE(216)</f>
        <v>251</v>
      </c>
      <c r="I12" s="128">
        <v>804669</v>
      </c>
      <c r="J12" s="126">
        <v>108</v>
      </c>
      <c r="K12" s="128">
        <v>-3712</v>
      </c>
      <c r="L12" s="126">
        <v>4007</v>
      </c>
      <c r="M12" s="128">
        <v>22947835</v>
      </c>
      <c r="N12" s="63" t="s">
        <v>52</v>
      </c>
    </row>
    <row r="13" spans="1:14" ht="22.5" customHeight="1">
      <c r="A13" s="148" t="s">
        <v>165</v>
      </c>
      <c r="B13" s="149">
        <f>_xlfn.COMPOUNDVALUE(217)</f>
        <v>1164</v>
      </c>
      <c r="C13" s="150">
        <v>11606476</v>
      </c>
      <c r="D13" s="149">
        <f>_xlfn.COMPOUNDVALUE(218)</f>
        <v>487</v>
      </c>
      <c r="E13" s="150">
        <v>312024</v>
      </c>
      <c r="F13" s="149">
        <f>_xlfn.COMPOUNDVALUE(219)</f>
        <v>1651</v>
      </c>
      <c r="G13" s="150">
        <v>11918500</v>
      </c>
      <c r="H13" s="149">
        <f>_xlfn.COMPOUNDVALUE(220)</f>
        <v>87</v>
      </c>
      <c r="I13" s="151">
        <v>205024</v>
      </c>
      <c r="J13" s="149">
        <v>53</v>
      </c>
      <c r="K13" s="151">
        <v>-11557</v>
      </c>
      <c r="L13" s="149">
        <v>1749</v>
      </c>
      <c r="M13" s="151">
        <v>11701918</v>
      </c>
      <c r="N13" s="152" t="s">
        <v>54</v>
      </c>
    </row>
    <row r="14" spans="1:14" ht="22.5" customHeight="1">
      <c r="A14" s="153" t="s">
        <v>166</v>
      </c>
      <c r="B14" s="154">
        <v>21014</v>
      </c>
      <c r="C14" s="155">
        <v>194095624</v>
      </c>
      <c r="D14" s="154">
        <v>7856</v>
      </c>
      <c r="E14" s="155">
        <v>5302378</v>
      </c>
      <c r="F14" s="154">
        <v>28870</v>
      </c>
      <c r="G14" s="155">
        <v>199398003</v>
      </c>
      <c r="H14" s="154">
        <v>1981</v>
      </c>
      <c r="I14" s="156">
        <v>20555924</v>
      </c>
      <c r="J14" s="154">
        <v>935</v>
      </c>
      <c r="K14" s="156">
        <v>36271</v>
      </c>
      <c r="L14" s="154">
        <v>31041</v>
      </c>
      <c r="M14" s="156">
        <v>178878349</v>
      </c>
      <c r="N14" s="157" t="s">
        <v>56</v>
      </c>
    </row>
    <row r="15" spans="1:14" ht="22.5" customHeight="1">
      <c r="A15" s="158"/>
      <c r="B15" s="159"/>
      <c r="C15" s="160"/>
      <c r="D15" s="159"/>
      <c r="E15" s="160"/>
      <c r="F15" s="161"/>
      <c r="G15" s="160"/>
      <c r="H15" s="161"/>
      <c r="I15" s="160"/>
      <c r="J15" s="161"/>
      <c r="K15" s="160"/>
      <c r="L15" s="161"/>
      <c r="M15" s="160"/>
      <c r="N15" s="162"/>
    </row>
    <row r="16" spans="1:14" ht="22.5" customHeight="1">
      <c r="A16" s="59" t="s">
        <v>167</v>
      </c>
      <c r="B16" s="123">
        <f>_xlfn.COMPOUNDVALUE(221)</f>
        <v>5262</v>
      </c>
      <c r="C16" s="124">
        <v>61798875</v>
      </c>
      <c r="D16" s="123">
        <f>_xlfn.COMPOUNDVALUE(222)</f>
        <v>2150</v>
      </c>
      <c r="E16" s="124">
        <v>1537418</v>
      </c>
      <c r="F16" s="123">
        <f>_xlfn.COMPOUNDVALUE(223)</f>
        <v>7412</v>
      </c>
      <c r="G16" s="124">
        <v>63336293</v>
      </c>
      <c r="H16" s="123">
        <f>_xlfn.COMPOUNDVALUE(224)</f>
        <v>427</v>
      </c>
      <c r="I16" s="125">
        <v>3445595</v>
      </c>
      <c r="J16" s="123">
        <v>367</v>
      </c>
      <c r="K16" s="125">
        <v>76622</v>
      </c>
      <c r="L16" s="123">
        <v>7906</v>
      </c>
      <c r="M16" s="125">
        <v>59967320</v>
      </c>
      <c r="N16" s="60" t="s">
        <v>58</v>
      </c>
    </row>
    <row r="17" spans="1:14" ht="22.5" customHeight="1">
      <c r="A17" s="59" t="s">
        <v>168</v>
      </c>
      <c r="B17" s="123">
        <f>_xlfn.COMPOUNDVALUE(225)</f>
        <v>2333</v>
      </c>
      <c r="C17" s="124">
        <v>23573896</v>
      </c>
      <c r="D17" s="123">
        <f>_xlfn.COMPOUNDVALUE(226)</f>
        <v>915</v>
      </c>
      <c r="E17" s="124">
        <v>624661</v>
      </c>
      <c r="F17" s="123">
        <f>_xlfn.COMPOUNDVALUE(227)</f>
        <v>3248</v>
      </c>
      <c r="G17" s="124">
        <v>24198558</v>
      </c>
      <c r="H17" s="123">
        <f>_xlfn.COMPOUNDVALUE(228)</f>
        <v>208</v>
      </c>
      <c r="I17" s="125">
        <v>1862561</v>
      </c>
      <c r="J17" s="123">
        <v>175</v>
      </c>
      <c r="K17" s="125">
        <v>151566</v>
      </c>
      <c r="L17" s="123">
        <v>3494</v>
      </c>
      <c r="M17" s="125">
        <v>22487563</v>
      </c>
      <c r="N17" s="60" t="s">
        <v>60</v>
      </c>
    </row>
    <row r="18" spans="1:14" ht="22.5" customHeight="1">
      <c r="A18" s="59" t="s">
        <v>169</v>
      </c>
      <c r="B18" s="123">
        <f>_xlfn.COMPOUNDVALUE(229)</f>
        <v>5095</v>
      </c>
      <c r="C18" s="124">
        <v>49300241</v>
      </c>
      <c r="D18" s="123">
        <f>_xlfn.COMPOUNDVALUE(230)</f>
        <v>2323</v>
      </c>
      <c r="E18" s="124">
        <v>1588010</v>
      </c>
      <c r="F18" s="123">
        <f>_xlfn.COMPOUNDVALUE(231)</f>
        <v>7418</v>
      </c>
      <c r="G18" s="124">
        <v>50888251</v>
      </c>
      <c r="H18" s="123">
        <f>_xlfn.COMPOUNDVALUE(232)</f>
        <v>532</v>
      </c>
      <c r="I18" s="125">
        <v>7683489</v>
      </c>
      <c r="J18" s="123">
        <v>315</v>
      </c>
      <c r="K18" s="125">
        <v>117424</v>
      </c>
      <c r="L18" s="123">
        <v>7998</v>
      </c>
      <c r="M18" s="125">
        <v>43322185</v>
      </c>
      <c r="N18" s="60" t="s">
        <v>62</v>
      </c>
    </row>
    <row r="19" spans="1:14" ht="22.5" customHeight="1">
      <c r="A19" s="59" t="s">
        <v>170</v>
      </c>
      <c r="B19" s="123">
        <f>_xlfn.COMPOUNDVALUE(233)</f>
        <v>3773</v>
      </c>
      <c r="C19" s="124">
        <v>34206162</v>
      </c>
      <c r="D19" s="123">
        <f>_xlfn.COMPOUNDVALUE(234)</f>
        <v>1539</v>
      </c>
      <c r="E19" s="124">
        <v>1045260</v>
      </c>
      <c r="F19" s="123">
        <f>_xlfn.COMPOUNDVALUE(235)</f>
        <v>5312</v>
      </c>
      <c r="G19" s="124">
        <v>35251423</v>
      </c>
      <c r="H19" s="123">
        <f>_xlfn.COMPOUNDVALUE(236)</f>
        <v>351</v>
      </c>
      <c r="I19" s="125">
        <v>20265076</v>
      </c>
      <c r="J19" s="123">
        <v>211</v>
      </c>
      <c r="K19" s="125">
        <v>12452</v>
      </c>
      <c r="L19" s="123">
        <v>5703</v>
      </c>
      <c r="M19" s="125">
        <v>14998800</v>
      </c>
      <c r="N19" s="60" t="s">
        <v>64</v>
      </c>
    </row>
    <row r="20" spans="1:14" ht="22.5" customHeight="1">
      <c r="A20" s="59" t="s">
        <v>171</v>
      </c>
      <c r="B20" s="123">
        <f>_xlfn.COMPOUNDVALUE(237)</f>
        <v>4137</v>
      </c>
      <c r="C20" s="124">
        <v>36188858</v>
      </c>
      <c r="D20" s="123">
        <f>_xlfn.COMPOUNDVALUE(238)</f>
        <v>1948</v>
      </c>
      <c r="E20" s="124">
        <v>1376467</v>
      </c>
      <c r="F20" s="123">
        <f>_xlfn.COMPOUNDVALUE(239)</f>
        <v>6085</v>
      </c>
      <c r="G20" s="124">
        <v>37565325</v>
      </c>
      <c r="H20" s="123">
        <f>_xlfn.COMPOUNDVALUE(240)</f>
        <v>313</v>
      </c>
      <c r="I20" s="125">
        <v>2741342</v>
      </c>
      <c r="J20" s="123">
        <v>210</v>
      </c>
      <c r="K20" s="125">
        <v>22187</v>
      </c>
      <c r="L20" s="123">
        <v>6448</v>
      </c>
      <c r="M20" s="125">
        <v>34846170</v>
      </c>
      <c r="N20" s="60" t="s">
        <v>66</v>
      </c>
    </row>
    <row r="21" spans="1:14" ht="22.5" customHeight="1">
      <c r="A21" s="59" t="s">
        <v>172</v>
      </c>
      <c r="B21" s="123">
        <f>_xlfn.COMPOUNDVALUE(241)</f>
        <v>1158</v>
      </c>
      <c r="C21" s="124">
        <v>4755710</v>
      </c>
      <c r="D21" s="123">
        <f>_xlfn.COMPOUNDVALUE(242)</f>
        <v>656</v>
      </c>
      <c r="E21" s="124">
        <v>391058</v>
      </c>
      <c r="F21" s="123">
        <f>_xlfn.COMPOUNDVALUE(243)</f>
        <v>1814</v>
      </c>
      <c r="G21" s="124">
        <v>5146767</v>
      </c>
      <c r="H21" s="123">
        <f>_xlfn.COMPOUNDVALUE(244)</f>
        <v>120</v>
      </c>
      <c r="I21" s="125">
        <v>388980</v>
      </c>
      <c r="J21" s="123">
        <v>83</v>
      </c>
      <c r="K21" s="125">
        <v>19516</v>
      </c>
      <c r="L21" s="123">
        <v>1949</v>
      </c>
      <c r="M21" s="125">
        <v>4777303</v>
      </c>
      <c r="N21" s="60" t="s">
        <v>68</v>
      </c>
    </row>
    <row r="22" spans="1:14" ht="22.5" customHeight="1">
      <c r="A22" s="62" t="s">
        <v>173</v>
      </c>
      <c r="B22" s="126">
        <f>_xlfn.COMPOUNDVALUE(245)</f>
        <v>1980</v>
      </c>
      <c r="C22" s="127">
        <v>13006013</v>
      </c>
      <c r="D22" s="126">
        <f>_xlfn.COMPOUNDVALUE(246)</f>
        <v>992</v>
      </c>
      <c r="E22" s="127">
        <v>650962</v>
      </c>
      <c r="F22" s="126">
        <f>_xlfn.COMPOUNDVALUE(247)</f>
        <v>2972</v>
      </c>
      <c r="G22" s="127">
        <v>13656975</v>
      </c>
      <c r="H22" s="126">
        <f>_xlfn.COMPOUNDVALUE(248)</f>
        <v>130</v>
      </c>
      <c r="I22" s="128">
        <v>309180</v>
      </c>
      <c r="J22" s="126">
        <v>144</v>
      </c>
      <c r="K22" s="128">
        <v>-29377</v>
      </c>
      <c r="L22" s="126">
        <v>3141</v>
      </c>
      <c r="M22" s="128">
        <v>13318418</v>
      </c>
      <c r="N22" s="63" t="s">
        <v>70</v>
      </c>
    </row>
    <row r="23" spans="1:14" ht="22.5" customHeight="1">
      <c r="A23" s="62" t="s">
        <v>174</v>
      </c>
      <c r="B23" s="126">
        <f>_xlfn.COMPOUNDVALUE(249)</f>
        <v>1708</v>
      </c>
      <c r="C23" s="127">
        <v>13744207</v>
      </c>
      <c r="D23" s="126">
        <f>_xlfn.COMPOUNDVALUE(250)</f>
        <v>615</v>
      </c>
      <c r="E23" s="127">
        <v>416763</v>
      </c>
      <c r="F23" s="126">
        <f>_xlfn.COMPOUNDVALUE(251)</f>
        <v>2323</v>
      </c>
      <c r="G23" s="127">
        <v>14160970</v>
      </c>
      <c r="H23" s="126">
        <f>_xlfn.COMPOUNDVALUE(252)</f>
        <v>143</v>
      </c>
      <c r="I23" s="128">
        <v>2779750</v>
      </c>
      <c r="J23" s="126">
        <v>68</v>
      </c>
      <c r="K23" s="128">
        <v>5112</v>
      </c>
      <c r="L23" s="126">
        <v>2486</v>
      </c>
      <c r="M23" s="128">
        <v>11386331</v>
      </c>
      <c r="N23" s="63" t="s">
        <v>72</v>
      </c>
    </row>
    <row r="24" spans="1:14" ht="22.5" customHeight="1">
      <c r="A24" s="62" t="s">
        <v>175</v>
      </c>
      <c r="B24" s="126">
        <f>_xlfn.COMPOUNDVALUE(253)</f>
        <v>3778</v>
      </c>
      <c r="C24" s="127">
        <v>33118625</v>
      </c>
      <c r="D24" s="126">
        <f>_xlfn.COMPOUNDVALUE(254)</f>
        <v>1464</v>
      </c>
      <c r="E24" s="127">
        <v>990440</v>
      </c>
      <c r="F24" s="126">
        <f>_xlfn.COMPOUNDVALUE(255)</f>
        <v>5242</v>
      </c>
      <c r="G24" s="127">
        <v>34109065</v>
      </c>
      <c r="H24" s="126">
        <f>_xlfn.COMPOUNDVALUE(256)</f>
        <v>270</v>
      </c>
      <c r="I24" s="128">
        <v>6192255</v>
      </c>
      <c r="J24" s="126">
        <v>258</v>
      </c>
      <c r="K24" s="128">
        <v>73339</v>
      </c>
      <c r="L24" s="126">
        <v>5575</v>
      </c>
      <c r="M24" s="128">
        <v>27990149</v>
      </c>
      <c r="N24" s="63" t="s">
        <v>74</v>
      </c>
    </row>
    <row r="25" spans="1:14" ht="22.5" customHeight="1">
      <c r="A25" s="62" t="s">
        <v>176</v>
      </c>
      <c r="B25" s="126">
        <f>_xlfn.COMPOUNDVALUE(257)</f>
        <v>2144</v>
      </c>
      <c r="C25" s="127">
        <v>20593966</v>
      </c>
      <c r="D25" s="126">
        <f>_xlfn.COMPOUNDVALUE(258)</f>
        <v>885</v>
      </c>
      <c r="E25" s="127">
        <v>581034</v>
      </c>
      <c r="F25" s="126">
        <f>_xlfn.COMPOUNDVALUE(259)</f>
        <v>3029</v>
      </c>
      <c r="G25" s="127">
        <v>21175000</v>
      </c>
      <c r="H25" s="126">
        <f>_xlfn.COMPOUNDVALUE(260)</f>
        <v>188</v>
      </c>
      <c r="I25" s="128">
        <v>24428202</v>
      </c>
      <c r="J25" s="126">
        <v>100</v>
      </c>
      <c r="K25" s="128">
        <v>16061</v>
      </c>
      <c r="L25" s="126">
        <v>3230</v>
      </c>
      <c r="M25" s="128">
        <v>-3237141</v>
      </c>
      <c r="N25" s="63" t="s">
        <v>76</v>
      </c>
    </row>
    <row r="26" spans="1:14" ht="22.5" customHeight="1">
      <c r="A26" s="62" t="s">
        <v>177</v>
      </c>
      <c r="B26" s="126">
        <f>_xlfn.COMPOUNDVALUE(261)</f>
        <v>1601</v>
      </c>
      <c r="C26" s="127">
        <v>11553996</v>
      </c>
      <c r="D26" s="126">
        <f>_xlfn.COMPOUNDVALUE(262)</f>
        <v>601</v>
      </c>
      <c r="E26" s="127">
        <v>397121</v>
      </c>
      <c r="F26" s="126">
        <f>_xlfn.COMPOUNDVALUE(263)</f>
        <v>2202</v>
      </c>
      <c r="G26" s="127">
        <v>11951116</v>
      </c>
      <c r="H26" s="126">
        <f>_xlfn.COMPOUNDVALUE(264)</f>
        <v>137</v>
      </c>
      <c r="I26" s="128">
        <v>10391361</v>
      </c>
      <c r="J26" s="126">
        <v>83</v>
      </c>
      <c r="K26" s="128">
        <v>48503</v>
      </c>
      <c r="L26" s="126">
        <v>2354</v>
      </c>
      <c r="M26" s="128">
        <v>1608258</v>
      </c>
      <c r="N26" s="63" t="s">
        <v>78</v>
      </c>
    </row>
    <row r="27" spans="1:14" ht="22.5" customHeight="1">
      <c r="A27" s="62" t="s">
        <v>178</v>
      </c>
      <c r="B27" s="126">
        <f>_xlfn.COMPOUNDVALUE(265)</f>
        <v>2468</v>
      </c>
      <c r="C27" s="127">
        <v>17851269</v>
      </c>
      <c r="D27" s="126">
        <f>_xlfn.COMPOUNDVALUE(266)</f>
        <v>915</v>
      </c>
      <c r="E27" s="127">
        <v>627325</v>
      </c>
      <c r="F27" s="126">
        <f>_xlfn.COMPOUNDVALUE(267)</f>
        <v>3383</v>
      </c>
      <c r="G27" s="127">
        <v>18478595</v>
      </c>
      <c r="H27" s="126">
        <f>_xlfn.COMPOUNDVALUE(268)</f>
        <v>207</v>
      </c>
      <c r="I27" s="128">
        <v>1005423</v>
      </c>
      <c r="J27" s="126">
        <v>129</v>
      </c>
      <c r="K27" s="128">
        <v>61919</v>
      </c>
      <c r="L27" s="126">
        <v>3611</v>
      </c>
      <c r="M27" s="128">
        <v>17535090</v>
      </c>
      <c r="N27" s="63" t="s">
        <v>80</v>
      </c>
    </row>
    <row r="28" spans="1:14" ht="22.5" customHeight="1">
      <c r="A28" s="148" t="s">
        <v>179</v>
      </c>
      <c r="B28" s="149">
        <f>_xlfn.COMPOUNDVALUE(269)</f>
        <v>647</v>
      </c>
      <c r="C28" s="150">
        <v>2643326</v>
      </c>
      <c r="D28" s="149">
        <f>_xlfn.COMPOUNDVALUE(270)</f>
        <v>290</v>
      </c>
      <c r="E28" s="150">
        <v>166715</v>
      </c>
      <c r="F28" s="149">
        <f>_xlfn.COMPOUNDVALUE(271)</f>
        <v>937</v>
      </c>
      <c r="G28" s="150">
        <v>2810041</v>
      </c>
      <c r="H28" s="149">
        <f>_xlfn.COMPOUNDVALUE(272)</f>
        <v>55</v>
      </c>
      <c r="I28" s="151">
        <v>129073</v>
      </c>
      <c r="J28" s="149">
        <v>16</v>
      </c>
      <c r="K28" s="151">
        <v>3290</v>
      </c>
      <c r="L28" s="149">
        <v>1000</v>
      </c>
      <c r="M28" s="151">
        <v>2684258</v>
      </c>
      <c r="N28" s="152" t="s">
        <v>82</v>
      </c>
    </row>
    <row r="29" spans="1:14" ht="22.5" customHeight="1">
      <c r="A29" s="153" t="s">
        <v>180</v>
      </c>
      <c r="B29" s="154">
        <v>36084</v>
      </c>
      <c r="C29" s="155">
        <v>322335144</v>
      </c>
      <c r="D29" s="154">
        <v>15293</v>
      </c>
      <c r="E29" s="155">
        <v>10393233</v>
      </c>
      <c r="F29" s="154">
        <v>51377</v>
      </c>
      <c r="G29" s="155">
        <v>332728377</v>
      </c>
      <c r="H29" s="154">
        <v>3081</v>
      </c>
      <c r="I29" s="156">
        <v>81622286</v>
      </c>
      <c r="J29" s="154">
        <v>2159</v>
      </c>
      <c r="K29" s="156">
        <v>578614</v>
      </c>
      <c r="L29" s="154">
        <v>54895</v>
      </c>
      <c r="M29" s="156">
        <v>251684705</v>
      </c>
      <c r="N29" s="157" t="s">
        <v>84</v>
      </c>
    </row>
    <row r="30" spans="1:14" ht="22.5" customHeight="1">
      <c r="A30" s="158"/>
      <c r="B30" s="159"/>
      <c r="C30" s="160"/>
      <c r="D30" s="159"/>
      <c r="E30" s="160"/>
      <c r="F30" s="161"/>
      <c r="G30" s="160"/>
      <c r="H30" s="161"/>
      <c r="I30" s="160"/>
      <c r="J30" s="161"/>
      <c r="K30" s="160"/>
      <c r="L30" s="161"/>
      <c r="M30" s="160"/>
      <c r="N30" s="162"/>
    </row>
    <row r="31" spans="1:14" ht="22.5" customHeight="1">
      <c r="A31" s="59" t="s">
        <v>181</v>
      </c>
      <c r="B31" s="123">
        <f>_xlfn.COMPOUNDVALUE(273)</f>
        <v>3409</v>
      </c>
      <c r="C31" s="124">
        <v>32995741</v>
      </c>
      <c r="D31" s="123">
        <f>_xlfn.COMPOUNDVALUE(274)</f>
        <v>1475</v>
      </c>
      <c r="E31" s="124">
        <v>1084820</v>
      </c>
      <c r="F31" s="123">
        <f>_xlfn.COMPOUNDVALUE(275)</f>
        <v>4884</v>
      </c>
      <c r="G31" s="124">
        <v>34080561</v>
      </c>
      <c r="H31" s="123">
        <f>_xlfn.COMPOUNDVALUE(276)</f>
        <v>510</v>
      </c>
      <c r="I31" s="125">
        <v>2257166</v>
      </c>
      <c r="J31" s="123">
        <v>188</v>
      </c>
      <c r="K31" s="125">
        <v>64658</v>
      </c>
      <c r="L31" s="123">
        <v>5437</v>
      </c>
      <c r="M31" s="125">
        <v>31888053</v>
      </c>
      <c r="N31" s="60" t="s">
        <v>86</v>
      </c>
    </row>
    <row r="32" spans="1:14" ht="22.5" customHeight="1">
      <c r="A32" s="59" t="s">
        <v>182</v>
      </c>
      <c r="B32" s="123">
        <f>_xlfn.COMPOUNDVALUE(277)</f>
        <v>2094</v>
      </c>
      <c r="C32" s="124">
        <v>69797601</v>
      </c>
      <c r="D32" s="123">
        <f>_xlfn.COMPOUNDVALUE(278)</f>
        <v>594</v>
      </c>
      <c r="E32" s="124">
        <v>445725</v>
      </c>
      <c r="F32" s="123">
        <f>_xlfn.COMPOUNDVALUE(279)</f>
        <v>2688</v>
      </c>
      <c r="G32" s="124">
        <v>70243326</v>
      </c>
      <c r="H32" s="123">
        <f>_xlfn.COMPOUNDVALUE(280)</f>
        <v>343</v>
      </c>
      <c r="I32" s="125">
        <v>7537329</v>
      </c>
      <c r="J32" s="123">
        <v>108</v>
      </c>
      <c r="K32" s="125">
        <v>52350</v>
      </c>
      <c r="L32" s="123">
        <v>3052</v>
      </c>
      <c r="M32" s="125">
        <v>62758347</v>
      </c>
      <c r="N32" s="60" t="s">
        <v>88</v>
      </c>
    </row>
    <row r="33" spans="1:14" ht="22.5" customHeight="1">
      <c r="A33" s="59" t="s">
        <v>183</v>
      </c>
      <c r="B33" s="123">
        <f>_xlfn.COMPOUNDVALUE(281)</f>
        <v>3890</v>
      </c>
      <c r="C33" s="124">
        <v>29520166</v>
      </c>
      <c r="D33" s="123">
        <f>_xlfn.COMPOUNDVALUE(282)</f>
        <v>1416</v>
      </c>
      <c r="E33" s="124">
        <v>945944</v>
      </c>
      <c r="F33" s="123">
        <f>_xlfn.COMPOUNDVALUE(283)</f>
        <v>5306</v>
      </c>
      <c r="G33" s="124">
        <v>30466110</v>
      </c>
      <c r="H33" s="123">
        <f>_xlfn.COMPOUNDVALUE(284)</f>
        <v>330</v>
      </c>
      <c r="I33" s="125">
        <v>777303</v>
      </c>
      <c r="J33" s="123">
        <v>195</v>
      </c>
      <c r="K33" s="125">
        <v>48276</v>
      </c>
      <c r="L33" s="123">
        <v>5672</v>
      </c>
      <c r="M33" s="125">
        <v>29737083</v>
      </c>
      <c r="N33" s="60" t="s">
        <v>90</v>
      </c>
    </row>
    <row r="34" spans="1:14" ht="22.5" customHeight="1">
      <c r="A34" s="59" t="s">
        <v>184</v>
      </c>
      <c r="B34" s="123">
        <f>_xlfn.COMPOUNDVALUE(285)</f>
        <v>4616</v>
      </c>
      <c r="C34" s="124">
        <v>54929611</v>
      </c>
      <c r="D34" s="123">
        <f>_xlfn.COMPOUNDVALUE(286)</f>
        <v>1405</v>
      </c>
      <c r="E34" s="124">
        <v>965468</v>
      </c>
      <c r="F34" s="123">
        <f>_xlfn.COMPOUNDVALUE(287)</f>
        <v>6021</v>
      </c>
      <c r="G34" s="124">
        <v>55895079</v>
      </c>
      <c r="H34" s="123">
        <f>_xlfn.COMPOUNDVALUE(288)</f>
        <v>415</v>
      </c>
      <c r="I34" s="125">
        <v>3973165</v>
      </c>
      <c r="J34" s="123">
        <v>270</v>
      </c>
      <c r="K34" s="125">
        <v>107806</v>
      </c>
      <c r="L34" s="123">
        <v>6501</v>
      </c>
      <c r="M34" s="125">
        <v>52029720</v>
      </c>
      <c r="N34" s="60" t="s">
        <v>92</v>
      </c>
    </row>
    <row r="35" spans="1:14" ht="22.5" customHeight="1">
      <c r="A35" s="59" t="s">
        <v>185</v>
      </c>
      <c r="B35" s="123">
        <f>_xlfn.COMPOUNDVALUE(289)</f>
        <v>2988</v>
      </c>
      <c r="C35" s="124">
        <v>62325428</v>
      </c>
      <c r="D35" s="123">
        <f>_xlfn.COMPOUNDVALUE(290)</f>
        <v>824</v>
      </c>
      <c r="E35" s="124">
        <v>658624</v>
      </c>
      <c r="F35" s="123">
        <f>_xlfn.COMPOUNDVALUE(291)</f>
        <v>3812</v>
      </c>
      <c r="G35" s="124">
        <v>62984053</v>
      </c>
      <c r="H35" s="123">
        <f>_xlfn.COMPOUNDVALUE(292)</f>
        <v>473</v>
      </c>
      <c r="I35" s="125">
        <v>90797606</v>
      </c>
      <c r="J35" s="123">
        <v>262</v>
      </c>
      <c r="K35" s="125">
        <v>-900490</v>
      </c>
      <c r="L35" s="123">
        <v>4322</v>
      </c>
      <c r="M35" s="125">
        <v>-28714043</v>
      </c>
      <c r="N35" s="60" t="s">
        <v>94</v>
      </c>
    </row>
    <row r="36" spans="1:14" ht="22.5" customHeight="1">
      <c r="A36" s="59" t="s">
        <v>186</v>
      </c>
      <c r="B36" s="123">
        <f>_xlfn.COMPOUNDVALUE(293)</f>
        <v>6223</v>
      </c>
      <c r="C36" s="124">
        <v>145270177</v>
      </c>
      <c r="D36" s="123">
        <f>_xlfn.COMPOUNDVALUE(294)</f>
        <v>1724</v>
      </c>
      <c r="E36" s="124">
        <v>1517219</v>
      </c>
      <c r="F36" s="123">
        <f>_xlfn.COMPOUNDVALUE(295)</f>
        <v>7947</v>
      </c>
      <c r="G36" s="124">
        <v>146787396</v>
      </c>
      <c r="H36" s="123">
        <f>_xlfn.COMPOUNDVALUE(296)</f>
        <v>1007</v>
      </c>
      <c r="I36" s="125">
        <v>26390443</v>
      </c>
      <c r="J36" s="123">
        <v>341</v>
      </c>
      <c r="K36" s="125">
        <v>321026</v>
      </c>
      <c r="L36" s="123">
        <v>9060</v>
      </c>
      <c r="M36" s="125">
        <v>120717979</v>
      </c>
      <c r="N36" s="60" t="s">
        <v>96</v>
      </c>
    </row>
    <row r="37" spans="1:14" ht="22.5" customHeight="1">
      <c r="A37" s="59" t="s">
        <v>187</v>
      </c>
      <c r="B37" s="123">
        <f>_xlfn.COMPOUNDVALUE(297)</f>
        <v>5770</v>
      </c>
      <c r="C37" s="124">
        <v>59598127</v>
      </c>
      <c r="D37" s="123">
        <f>_xlfn.COMPOUNDVALUE(298)</f>
        <v>2178</v>
      </c>
      <c r="E37" s="124">
        <v>1560870</v>
      </c>
      <c r="F37" s="123">
        <f>_xlfn.COMPOUNDVALUE(299)</f>
        <v>7948</v>
      </c>
      <c r="G37" s="124">
        <v>61158997</v>
      </c>
      <c r="H37" s="123">
        <f>_xlfn.COMPOUNDVALUE(300)</f>
        <v>693</v>
      </c>
      <c r="I37" s="125">
        <v>21908676</v>
      </c>
      <c r="J37" s="123">
        <v>285</v>
      </c>
      <c r="K37" s="125">
        <v>42435</v>
      </c>
      <c r="L37" s="123">
        <v>8711</v>
      </c>
      <c r="M37" s="125">
        <v>39292756</v>
      </c>
      <c r="N37" s="60" t="s">
        <v>98</v>
      </c>
    </row>
    <row r="38" spans="1:14" ht="22.5" customHeight="1">
      <c r="A38" s="59" t="s">
        <v>188</v>
      </c>
      <c r="B38" s="123">
        <f>_xlfn.COMPOUNDVALUE(301)</f>
        <v>5759</v>
      </c>
      <c r="C38" s="124">
        <v>76130127</v>
      </c>
      <c r="D38" s="123">
        <f>_xlfn.COMPOUNDVALUE(302)</f>
        <v>2009</v>
      </c>
      <c r="E38" s="124">
        <v>1429446</v>
      </c>
      <c r="F38" s="123">
        <f>_xlfn.COMPOUNDVALUE(303)</f>
        <v>7768</v>
      </c>
      <c r="G38" s="124">
        <v>77559573</v>
      </c>
      <c r="H38" s="123">
        <f>_xlfn.COMPOUNDVALUE(304)</f>
        <v>451</v>
      </c>
      <c r="I38" s="125">
        <v>2822947</v>
      </c>
      <c r="J38" s="123">
        <v>366</v>
      </c>
      <c r="K38" s="125">
        <v>135394</v>
      </c>
      <c r="L38" s="123">
        <v>8311</v>
      </c>
      <c r="M38" s="125">
        <v>74872020</v>
      </c>
      <c r="N38" s="60" t="s">
        <v>100</v>
      </c>
    </row>
    <row r="39" spans="1:14" ht="22.5" customHeight="1">
      <c r="A39" s="59" t="s">
        <v>189</v>
      </c>
      <c r="B39" s="123">
        <f>_xlfn.COMPOUNDVALUE(305)</f>
        <v>4849</v>
      </c>
      <c r="C39" s="124">
        <v>49985991</v>
      </c>
      <c r="D39" s="123">
        <f>_xlfn.COMPOUNDVALUE(306)</f>
        <v>1459</v>
      </c>
      <c r="E39" s="124">
        <v>942329</v>
      </c>
      <c r="F39" s="123">
        <f>_xlfn.COMPOUNDVALUE(307)</f>
        <v>6308</v>
      </c>
      <c r="G39" s="124">
        <v>50928320</v>
      </c>
      <c r="H39" s="123">
        <f>_xlfn.COMPOUNDVALUE(308)</f>
        <v>759</v>
      </c>
      <c r="I39" s="125">
        <v>5283519</v>
      </c>
      <c r="J39" s="123">
        <v>276</v>
      </c>
      <c r="K39" s="125">
        <v>71514</v>
      </c>
      <c r="L39" s="123">
        <v>7140</v>
      </c>
      <c r="M39" s="125">
        <v>45716314</v>
      </c>
      <c r="N39" s="60" t="s">
        <v>102</v>
      </c>
    </row>
    <row r="40" spans="1:14" ht="22.5" customHeight="1">
      <c r="A40" s="59" t="s">
        <v>190</v>
      </c>
      <c r="B40" s="123">
        <f>_xlfn.COMPOUNDVALUE(309)</f>
        <v>6749</v>
      </c>
      <c r="C40" s="124">
        <v>60859983</v>
      </c>
      <c r="D40" s="123">
        <f>_xlfn.COMPOUNDVALUE(310)</f>
        <v>2753</v>
      </c>
      <c r="E40" s="124">
        <v>1874967</v>
      </c>
      <c r="F40" s="123">
        <f>_xlfn.COMPOUNDVALUE(311)</f>
        <v>9502</v>
      </c>
      <c r="G40" s="124">
        <v>62734949</v>
      </c>
      <c r="H40" s="123">
        <f>_xlfn.COMPOUNDVALUE(312)</f>
        <v>550</v>
      </c>
      <c r="I40" s="125">
        <v>6109716</v>
      </c>
      <c r="J40" s="123">
        <v>307</v>
      </c>
      <c r="K40" s="125">
        <v>-16341</v>
      </c>
      <c r="L40" s="123">
        <v>10098</v>
      </c>
      <c r="M40" s="125">
        <v>56608893</v>
      </c>
      <c r="N40" s="60" t="s">
        <v>104</v>
      </c>
    </row>
    <row r="41" spans="1:14" ht="22.5" customHeight="1">
      <c r="A41" s="59" t="s">
        <v>191</v>
      </c>
      <c r="B41" s="123">
        <f>_xlfn.COMPOUNDVALUE(313)</f>
        <v>3730</v>
      </c>
      <c r="C41" s="124">
        <v>31659293</v>
      </c>
      <c r="D41" s="123">
        <f>_xlfn.COMPOUNDVALUE(314)</f>
        <v>1368</v>
      </c>
      <c r="E41" s="124">
        <v>958996</v>
      </c>
      <c r="F41" s="123">
        <f>_xlfn.COMPOUNDVALUE(315)</f>
        <v>5098</v>
      </c>
      <c r="G41" s="124">
        <v>32618289</v>
      </c>
      <c r="H41" s="123">
        <f>_xlfn.COMPOUNDVALUE(316)</f>
        <v>276</v>
      </c>
      <c r="I41" s="125">
        <v>802394</v>
      </c>
      <c r="J41" s="123">
        <v>170</v>
      </c>
      <c r="K41" s="125">
        <v>74793</v>
      </c>
      <c r="L41" s="123">
        <v>5402</v>
      </c>
      <c r="M41" s="125">
        <v>31890688</v>
      </c>
      <c r="N41" s="60" t="s">
        <v>106</v>
      </c>
    </row>
    <row r="42" spans="1:14" ht="22.5" customHeight="1">
      <c r="A42" s="59" t="s">
        <v>192</v>
      </c>
      <c r="B42" s="123">
        <f>_xlfn.COMPOUNDVALUE(317)</f>
        <v>4323</v>
      </c>
      <c r="C42" s="124">
        <v>40189162</v>
      </c>
      <c r="D42" s="123">
        <f>_xlfn.COMPOUNDVALUE(318)</f>
        <v>1756</v>
      </c>
      <c r="E42" s="124">
        <v>1218780</v>
      </c>
      <c r="F42" s="123">
        <f>_xlfn.COMPOUNDVALUE(319)</f>
        <v>6079</v>
      </c>
      <c r="G42" s="124">
        <v>41407943</v>
      </c>
      <c r="H42" s="123">
        <f>_xlfn.COMPOUNDVALUE(320)</f>
        <v>416</v>
      </c>
      <c r="I42" s="125">
        <v>1437101</v>
      </c>
      <c r="J42" s="123">
        <v>190</v>
      </c>
      <c r="K42" s="125">
        <v>51947</v>
      </c>
      <c r="L42" s="123">
        <v>6534</v>
      </c>
      <c r="M42" s="125">
        <v>40022789</v>
      </c>
      <c r="N42" s="60" t="s">
        <v>108</v>
      </c>
    </row>
    <row r="43" spans="1:14" ht="22.5" customHeight="1">
      <c r="A43" s="59" t="s">
        <v>193</v>
      </c>
      <c r="B43" s="123">
        <f>_xlfn.COMPOUNDVALUE(321)</f>
        <v>1892</v>
      </c>
      <c r="C43" s="124">
        <v>15412418</v>
      </c>
      <c r="D43" s="123">
        <f>_xlfn.COMPOUNDVALUE(322)</f>
        <v>804</v>
      </c>
      <c r="E43" s="124">
        <v>513117</v>
      </c>
      <c r="F43" s="123">
        <f>_xlfn.COMPOUNDVALUE(323)</f>
        <v>2696</v>
      </c>
      <c r="G43" s="124">
        <v>15925535</v>
      </c>
      <c r="H43" s="123">
        <f>_xlfn.COMPOUNDVALUE(324)</f>
        <v>164</v>
      </c>
      <c r="I43" s="125">
        <v>2472669</v>
      </c>
      <c r="J43" s="123">
        <v>93</v>
      </c>
      <c r="K43" s="125">
        <v>31808</v>
      </c>
      <c r="L43" s="123">
        <v>2887</v>
      </c>
      <c r="M43" s="125">
        <v>13484674</v>
      </c>
      <c r="N43" s="60" t="s">
        <v>110</v>
      </c>
    </row>
    <row r="44" spans="1:14" ht="22.5" customHeight="1">
      <c r="A44" s="62" t="s">
        <v>194</v>
      </c>
      <c r="B44" s="126">
        <f>_xlfn.COMPOUNDVALUE(325)</f>
        <v>5110</v>
      </c>
      <c r="C44" s="127">
        <v>52493955</v>
      </c>
      <c r="D44" s="126">
        <f>_xlfn.COMPOUNDVALUE(326)</f>
        <v>1631</v>
      </c>
      <c r="E44" s="127">
        <v>1266172</v>
      </c>
      <c r="F44" s="126">
        <f>_xlfn.COMPOUNDVALUE(327)</f>
        <v>6741</v>
      </c>
      <c r="G44" s="127">
        <v>53760126</v>
      </c>
      <c r="H44" s="126">
        <f>_xlfn.COMPOUNDVALUE(328)</f>
        <v>429</v>
      </c>
      <c r="I44" s="128">
        <v>4599038</v>
      </c>
      <c r="J44" s="126">
        <v>210</v>
      </c>
      <c r="K44" s="128">
        <v>34591</v>
      </c>
      <c r="L44" s="126">
        <v>7217</v>
      </c>
      <c r="M44" s="128">
        <v>49195680</v>
      </c>
      <c r="N44" s="63" t="s">
        <v>112</v>
      </c>
    </row>
    <row r="45" spans="1:14" ht="22.5" customHeight="1">
      <c r="A45" s="62" t="s">
        <v>195</v>
      </c>
      <c r="B45" s="126">
        <f>_xlfn.COMPOUNDVALUE(329)</f>
        <v>3379</v>
      </c>
      <c r="C45" s="127">
        <v>29307910</v>
      </c>
      <c r="D45" s="126">
        <f>_xlfn.COMPOUNDVALUE(330)</f>
        <v>1125</v>
      </c>
      <c r="E45" s="127">
        <v>795521</v>
      </c>
      <c r="F45" s="126">
        <f>_xlfn.COMPOUNDVALUE(331)</f>
        <v>4504</v>
      </c>
      <c r="G45" s="127">
        <v>30103431</v>
      </c>
      <c r="H45" s="126">
        <f>_xlfn.COMPOUNDVALUE(332)</f>
        <v>499</v>
      </c>
      <c r="I45" s="128">
        <v>4592347</v>
      </c>
      <c r="J45" s="126">
        <v>207</v>
      </c>
      <c r="K45" s="128">
        <v>-299237</v>
      </c>
      <c r="L45" s="126">
        <v>5054</v>
      </c>
      <c r="M45" s="128">
        <v>25211846</v>
      </c>
      <c r="N45" s="63" t="s">
        <v>114</v>
      </c>
    </row>
    <row r="46" spans="1:14" ht="22.5" customHeight="1">
      <c r="A46" s="62" t="s">
        <v>196</v>
      </c>
      <c r="B46" s="126">
        <f>_xlfn.COMPOUNDVALUE(333)</f>
        <v>4756</v>
      </c>
      <c r="C46" s="127">
        <v>76395260</v>
      </c>
      <c r="D46" s="126">
        <f>_xlfn.COMPOUNDVALUE(334)</f>
        <v>1495</v>
      </c>
      <c r="E46" s="127">
        <v>1118404</v>
      </c>
      <c r="F46" s="126">
        <f>_xlfn.COMPOUNDVALUE(335)</f>
        <v>6251</v>
      </c>
      <c r="G46" s="127">
        <v>77513664</v>
      </c>
      <c r="H46" s="126">
        <f>_xlfn.COMPOUNDVALUE(336)</f>
        <v>366</v>
      </c>
      <c r="I46" s="128">
        <v>90585944</v>
      </c>
      <c r="J46" s="126">
        <v>219</v>
      </c>
      <c r="K46" s="128">
        <v>-50808</v>
      </c>
      <c r="L46" s="126">
        <v>6665</v>
      </c>
      <c r="M46" s="128">
        <v>-13123089</v>
      </c>
      <c r="N46" s="63" t="s">
        <v>116</v>
      </c>
    </row>
    <row r="47" spans="1:14" ht="22.5" customHeight="1">
      <c r="A47" s="62" t="s">
        <v>197</v>
      </c>
      <c r="B47" s="126">
        <f>_xlfn.COMPOUNDVALUE(337)</f>
        <v>3810</v>
      </c>
      <c r="C47" s="127">
        <v>50532435</v>
      </c>
      <c r="D47" s="126">
        <f>_xlfn.COMPOUNDVALUE(338)</f>
        <v>1370</v>
      </c>
      <c r="E47" s="127">
        <v>931057</v>
      </c>
      <c r="F47" s="126">
        <f>_xlfn.COMPOUNDVALUE(339)</f>
        <v>5180</v>
      </c>
      <c r="G47" s="127">
        <v>51463491</v>
      </c>
      <c r="H47" s="126">
        <f>_xlfn.COMPOUNDVALUE(340)</f>
        <v>282</v>
      </c>
      <c r="I47" s="128">
        <v>368730715</v>
      </c>
      <c r="J47" s="126">
        <v>184</v>
      </c>
      <c r="K47" s="128">
        <v>11059</v>
      </c>
      <c r="L47" s="126">
        <v>5485</v>
      </c>
      <c r="M47" s="129">
        <v>-317256164</v>
      </c>
      <c r="N47" s="63" t="s">
        <v>118</v>
      </c>
    </row>
    <row r="48" spans="1:14" ht="22.5" customHeight="1">
      <c r="A48" s="62" t="s">
        <v>198</v>
      </c>
      <c r="B48" s="126">
        <f>_xlfn.COMPOUNDVALUE(341)</f>
        <v>1615</v>
      </c>
      <c r="C48" s="127">
        <v>14819976</v>
      </c>
      <c r="D48" s="126">
        <f>_xlfn.COMPOUNDVALUE(342)</f>
        <v>480</v>
      </c>
      <c r="E48" s="127">
        <v>349271</v>
      </c>
      <c r="F48" s="126">
        <f>_xlfn.COMPOUNDVALUE(343)</f>
        <v>2095</v>
      </c>
      <c r="G48" s="127">
        <v>15169247</v>
      </c>
      <c r="H48" s="126">
        <f>_xlfn.COMPOUNDVALUE(344)</f>
        <v>105</v>
      </c>
      <c r="I48" s="128">
        <v>793081</v>
      </c>
      <c r="J48" s="126">
        <v>106</v>
      </c>
      <c r="K48" s="128">
        <v>29920</v>
      </c>
      <c r="L48" s="126">
        <v>2242</v>
      </c>
      <c r="M48" s="128">
        <v>14406086</v>
      </c>
      <c r="N48" s="63" t="s">
        <v>120</v>
      </c>
    </row>
    <row r="49" spans="1:14" ht="22.5" customHeight="1">
      <c r="A49" s="62" t="s">
        <v>199</v>
      </c>
      <c r="B49" s="126">
        <f>_xlfn.COMPOUNDVALUE(345)</f>
        <v>6681</v>
      </c>
      <c r="C49" s="127">
        <v>62869615</v>
      </c>
      <c r="D49" s="126">
        <f>_xlfn.COMPOUNDVALUE(346)</f>
        <v>2491</v>
      </c>
      <c r="E49" s="127">
        <v>1810549</v>
      </c>
      <c r="F49" s="126">
        <f>_xlfn.COMPOUNDVALUE(347)</f>
        <v>9172</v>
      </c>
      <c r="G49" s="127">
        <v>64680164</v>
      </c>
      <c r="H49" s="126">
        <f>_xlfn.COMPOUNDVALUE(348)</f>
        <v>544</v>
      </c>
      <c r="I49" s="128">
        <v>16535485</v>
      </c>
      <c r="J49" s="126">
        <v>229</v>
      </c>
      <c r="K49" s="128">
        <v>35813</v>
      </c>
      <c r="L49" s="126">
        <v>9761</v>
      </c>
      <c r="M49" s="128">
        <v>48180492</v>
      </c>
      <c r="N49" s="63" t="s">
        <v>122</v>
      </c>
    </row>
    <row r="50" spans="1:14" ht="22.5" customHeight="1">
      <c r="A50" s="148" t="s">
        <v>200</v>
      </c>
      <c r="B50" s="149">
        <f>_xlfn.COMPOUNDVALUE(349)</f>
        <v>462</v>
      </c>
      <c r="C50" s="150">
        <v>2964848</v>
      </c>
      <c r="D50" s="149">
        <f>_xlfn.COMPOUNDVALUE(350)</f>
        <v>188</v>
      </c>
      <c r="E50" s="150">
        <v>124252</v>
      </c>
      <c r="F50" s="149">
        <f>_xlfn.COMPOUNDVALUE(351)</f>
        <v>650</v>
      </c>
      <c r="G50" s="150">
        <v>3089100</v>
      </c>
      <c r="H50" s="149">
        <f>_xlfn.COMPOUNDVALUE(352)</f>
        <v>31</v>
      </c>
      <c r="I50" s="151">
        <v>39481</v>
      </c>
      <c r="J50" s="149">
        <v>31</v>
      </c>
      <c r="K50" s="151">
        <v>-685</v>
      </c>
      <c r="L50" s="149">
        <v>683</v>
      </c>
      <c r="M50" s="151">
        <v>3048935</v>
      </c>
      <c r="N50" s="152" t="s">
        <v>124</v>
      </c>
    </row>
    <row r="51" spans="1:14" ht="22.5" customHeight="1">
      <c r="A51" s="153" t="s">
        <v>201</v>
      </c>
      <c r="B51" s="154">
        <v>82105</v>
      </c>
      <c r="C51" s="155">
        <v>1018057822</v>
      </c>
      <c r="D51" s="154">
        <v>28545</v>
      </c>
      <c r="E51" s="155">
        <v>20511530</v>
      </c>
      <c r="F51" s="154">
        <v>110650</v>
      </c>
      <c r="G51" s="155">
        <v>1038569352</v>
      </c>
      <c r="H51" s="154">
        <v>8643</v>
      </c>
      <c r="I51" s="156">
        <v>658446123</v>
      </c>
      <c r="J51" s="154">
        <v>4237</v>
      </c>
      <c r="K51" s="156">
        <v>-154171</v>
      </c>
      <c r="L51" s="154">
        <v>120234</v>
      </c>
      <c r="M51" s="156">
        <v>379969058</v>
      </c>
      <c r="N51" s="157" t="s">
        <v>126</v>
      </c>
    </row>
    <row r="52" spans="1:14" ht="22.5" customHeight="1">
      <c r="A52" s="158"/>
      <c r="B52" s="159"/>
      <c r="C52" s="160"/>
      <c r="D52" s="159"/>
      <c r="E52" s="160"/>
      <c r="F52" s="161"/>
      <c r="G52" s="160"/>
      <c r="H52" s="161"/>
      <c r="I52" s="160"/>
      <c r="J52" s="161"/>
      <c r="K52" s="160"/>
      <c r="L52" s="161"/>
      <c r="M52" s="160"/>
      <c r="N52" s="162"/>
    </row>
    <row r="53" spans="1:14" ht="22.5" customHeight="1">
      <c r="A53" s="59" t="s">
        <v>202</v>
      </c>
      <c r="B53" s="123">
        <f>_xlfn.COMPOUNDVALUE(353)</f>
        <v>2225</v>
      </c>
      <c r="C53" s="124">
        <v>21310925</v>
      </c>
      <c r="D53" s="123">
        <f>_xlfn.COMPOUNDVALUE(354)</f>
        <v>833</v>
      </c>
      <c r="E53" s="124">
        <v>581615</v>
      </c>
      <c r="F53" s="123">
        <f>_xlfn.COMPOUNDVALUE(355)</f>
        <v>3058</v>
      </c>
      <c r="G53" s="124">
        <v>21892540</v>
      </c>
      <c r="H53" s="123">
        <f>_xlfn.COMPOUNDVALUE(356)</f>
        <v>201</v>
      </c>
      <c r="I53" s="125">
        <v>2574365</v>
      </c>
      <c r="J53" s="123">
        <v>132</v>
      </c>
      <c r="K53" s="125">
        <v>-46464</v>
      </c>
      <c r="L53" s="123">
        <v>3280</v>
      </c>
      <c r="M53" s="125">
        <v>19271711</v>
      </c>
      <c r="N53" s="60" t="s">
        <v>128</v>
      </c>
    </row>
    <row r="54" spans="1:14" ht="22.5" customHeight="1">
      <c r="A54" s="62" t="s">
        <v>203</v>
      </c>
      <c r="B54" s="126">
        <f>_xlfn.COMPOUNDVALUE(357)</f>
        <v>3951</v>
      </c>
      <c r="C54" s="127">
        <v>47124754</v>
      </c>
      <c r="D54" s="126">
        <f>_xlfn.COMPOUNDVALUE(358)</f>
        <v>1372</v>
      </c>
      <c r="E54" s="127">
        <v>962344</v>
      </c>
      <c r="F54" s="126">
        <f>_xlfn.COMPOUNDVALUE(359)</f>
        <v>5323</v>
      </c>
      <c r="G54" s="127">
        <v>48087098</v>
      </c>
      <c r="H54" s="126">
        <f>_xlfn.COMPOUNDVALUE(360)</f>
        <v>316</v>
      </c>
      <c r="I54" s="128">
        <v>14559884</v>
      </c>
      <c r="J54" s="126">
        <v>272</v>
      </c>
      <c r="K54" s="128">
        <v>35424</v>
      </c>
      <c r="L54" s="126">
        <v>5706</v>
      </c>
      <c r="M54" s="128">
        <v>33562638</v>
      </c>
      <c r="N54" s="63" t="s">
        <v>130</v>
      </c>
    </row>
    <row r="55" spans="1:14" ht="22.5" customHeight="1">
      <c r="A55" s="62" t="s">
        <v>204</v>
      </c>
      <c r="B55" s="126">
        <f>_xlfn.COMPOUNDVALUE(361)</f>
        <v>2183</v>
      </c>
      <c r="C55" s="127">
        <v>12805160</v>
      </c>
      <c r="D55" s="126">
        <f>_xlfn.COMPOUNDVALUE(362)</f>
        <v>791</v>
      </c>
      <c r="E55" s="127">
        <v>500606</v>
      </c>
      <c r="F55" s="126">
        <f>_xlfn.COMPOUNDVALUE(363)</f>
        <v>2974</v>
      </c>
      <c r="G55" s="127">
        <v>13305766</v>
      </c>
      <c r="H55" s="126">
        <f>_xlfn.COMPOUNDVALUE(364)</f>
        <v>266</v>
      </c>
      <c r="I55" s="128">
        <v>1946705</v>
      </c>
      <c r="J55" s="126">
        <v>105</v>
      </c>
      <c r="K55" s="128">
        <v>24617</v>
      </c>
      <c r="L55" s="126">
        <v>3259</v>
      </c>
      <c r="M55" s="128">
        <v>11383678</v>
      </c>
      <c r="N55" s="63" t="s">
        <v>132</v>
      </c>
    </row>
    <row r="56" spans="1:14" ht="22.5" customHeight="1">
      <c r="A56" s="62" t="s">
        <v>205</v>
      </c>
      <c r="B56" s="126">
        <f>_xlfn.COMPOUNDVALUE(365)</f>
        <v>1798</v>
      </c>
      <c r="C56" s="127">
        <v>17296637</v>
      </c>
      <c r="D56" s="126">
        <f>_xlfn.COMPOUNDVALUE(366)</f>
        <v>577</v>
      </c>
      <c r="E56" s="127">
        <v>415654</v>
      </c>
      <c r="F56" s="126">
        <f>_xlfn.COMPOUNDVALUE(367)</f>
        <v>2375</v>
      </c>
      <c r="G56" s="127">
        <v>17712290</v>
      </c>
      <c r="H56" s="126">
        <f>_xlfn.COMPOUNDVALUE(368)</f>
        <v>195</v>
      </c>
      <c r="I56" s="128">
        <v>6008321</v>
      </c>
      <c r="J56" s="126">
        <v>89</v>
      </c>
      <c r="K56" s="128">
        <v>52134</v>
      </c>
      <c r="L56" s="126">
        <v>2591</v>
      </c>
      <c r="M56" s="128">
        <v>11756104</v>
      </c>
      <c r="N56" s="63" t="s">
        <v>134</v>
      </c>
    </row>
    <row r="57" spans="1:14" ht="22.5" customHeight="1">
      <c r="A57" s="62" t="s">
        <v>206</v>
      </c>
      <c r="B57" s="126">
        <f>_xlfn.COMPOUNDVALUE(369)</f>
        <v>1917</v>
      </c>
      <c r="C57" s="127">
        <v>16710175</v>
      </c>
      <c r="D57" s="126">
        <f>_xlfn.COMPOUNDVALUE(370)</f>
        <v>724</v>
      </c>
      <c r="E57" s="127">
        <v>506705</v>
      </c>
      <c r="F57" s="126">
        <f>_xlfn.COMPOUNDVALUE(371)</f>
        <v>2641</v>
      </c>
      <c r="G57" s="127">
        <v>17216880</v>
      </c>
      <c r="H57" s="126">
        <f>_xlfn.COMPOUNDVALUE(372)</f>
        <v>194</v>
      </c>
      <c r="I57" s="128">
        <v>452430</v>
      </c>
      <c r="J57" s="126">
        <v>139</v>
      </c>
      <c r="K57" s="128">
        <v>22280</v>
      </c>
      <c r="L57" s="126">
        <v>2863</v>
      </c>
      <c r="M57" s="128">
        <v>16786729</v>
      </c>
      <c r="N57" s="63" t="s">
        <v>136</v>
      </c>
    </row>
    <row r="58" spans="1:14" ht="22.5" customHeight="1">
      <c r="A58" s="62" t="s">
        <v>207</v>
      </c>
      <c r="B58" s="126">
        <f>_xlfn.COMPOUNDVALUE(373)</f>
        <v>1186</v>
      </c>
      <c r="C58" s="127">
        <v>9660722</v>
      </c>
      <c r="D58" s="126">
        <f>_xlfn.COMPOUNDVALUE(374)</f>
        <v>415</v>
      </c>
      <c r="E58" s="127">
        <v>284685</v>
      </c>
      <c r="F58" s="126">
        <f>_xlfn.COMPOUNDVALUE(375)</f>
        <v>1601</v>
      </c>
      <c r="G58" s="127">
        <v>9945407</v>
      </c>
      <c r="H58" s="126">
        <f>_xlfn.COMPOUNDVALUE(376)</f>
        <v>105</v>
      </c>
      <c r="I58" s="128">
        <v>910251</v>
      </c>
      <c r="J58" s="126">
        <v>43</v>
      </c>
      <c r="K58" s="128">
        <v>37631</v>
      </c>
      <c r="L58" s="126">
        <v>1716</v>
      </c>
      <c r="M58" s="128">
        <v>9072786</v>
      </c>
      <c r="N58" s="63" t="s">
        <v>138</v>
      </c>
    </row>
    <row r="59" spans="1:14" ht="22.5" customHeight="1">
      <c r="A59" s="62" t="s">
        <v>208</v>
      </c>
      <c r="B59" s="126">
        <f>_xlfn.COMPOUNDVALUE(377)</f>
        <v>1955</v>
      </c>
      <c r="C59" s="127">
        <v>15984848</v>
      </c>
      <c r="D59" s="126">
        <f>_xlfn.COMPOUNDVALUE(378)</f>
        <v>629</v>
      </c>
      <c r="E59" s="127">
        <v>465972</v>
      </c>
      <c r="F59" s="126">
        <f>_xlfn.COMPOUNDVALUE(379)</f>
        <v>2584</v>
      </c>
      <c r="G59" s="127">
        <v>16450819</v>
      </c>
      <c r="H59" s="126">
        <f>_xlfn.COMPOUNDVALUE(380)</f>
        <v>211</v>
      </c>
      <c r="I59" s="128">
        <v>1231709</v>
      </c>
      <c r="J59" s="126">
        <v>105</v>
      </c>
      <c r="K59" s="128">
        <v>14894</v>
      </c>
      <c r="L59" s="126">
        <v>2836</v>
      </c>
      <c r="M59" s="128">
        <v>15234004</v>
      </c>
      <c r="N59" s="63" t="s">
        <v>140</v>
      </c>
    </row>
    <row r="60" spans="1:14" ht="22.5" customHeight="1">
      <c r="A60" s="148" t="s">
        <v>209</v>
      </c>
      <c r="B60" s="149">
        <f>_xlfn.COMPOUNDVALUE(381)</f>
        <v>551</v>
      </c>
      <c r="C60" s="150">
        <v>3163305</v>
      </c>
      <c r="D60" s="149">
        <f>_xlfn.COMPOUNDVALUE(382)</f>
        <v>180</v>
      </c>
      <c r="E60" s="150">
        <v>118776</v>
      </c>
      <c r="F60" s="149">
        <f>_xlfn.COMPOUNDVALUE(383)</f>
        <v>731</v>
      </c>
      <c r="G60" s="150">
        <v>3282081</v>
      </c>
      <c r="H60" s="149">
        <f>_xlfn.COMPOUNDVALUE(384)</f>
        <v>44</v>
      </c>
      <c r="I60" s="151">
        <v>285026</v>
      </c>
      <c r="J60" s="149">
        <v>50</v>
      </c>
      <c r="K60" s="151">
        <v>6253</v>
      </c>
      <c r="L60" s="149">
        <v>778</v>
      </c>
      <c r="M60" s="151">
        <v>3003308</v>
      </c>
      <c r="N60" s="152" t="s">
        <v>142</v>
      </c>
    </row>
    <row r="61" spans="1:14" ht="22.5" customHeight="1">
      <c r="A61" s="165" t="s">
        <v>210</v>
      </c>
      <c r="B61" s="166">
        <v>15766</v>
      </c>
      <c r="C61" s="167">
        <v>144056524</v>
      </c>
      <c r="D61" s="166">
        <v>5521</v>
      </c>
      <c r="E61" s="167">
        <v>3836357</v>
      </c>
      <c r="F61" s="166">
        <v>21287</v>
      </c>
      <c r="G61" s="167">
        <v>147892881</v>
      </c>
      <c r="H61" s="166">
        <v>1532</v>
      </c>
      <c r="I61" s="168">
        <v>27968690</v>
      </c>
      <c r="J61" s="166">
        <v>935</v>
      </c>
      <c r="K61" s="168">
        <v>146767</v>
      </c>
      <c r="L61" s="166">
        <v>23029</v>
      </c>
      <c r="M61" s="168">
        <v>120070958</v>
      </c>
      <c r="N61" s="169" t="s">
        <v>144</v>
      </c>
    </row>
    <row r="62" spans="1:14" ht="22.5" customHeight="1" thickBot="1">
      <c r="A62" s="64"/>
      <c r="B62" s="130"/>
      <c r="C62" s="131"/>
      <c r="D62" s="130"/>
      <c r="E62" s="131"/>
      <c r="F62" s="132"/>
      <c r="G62" s="131"/>
      <c r="H62" s="132"/>
      <c r="I62" s="131"/>
      <c r="J62" s="132"/>
      <c r="K62" s="131"/>
      <c r="L62" s="132"/>
      <c r="M62" s="131"/>
      <c r="N62" s="65"/>
    </row>
    <row r="63" spans="1:14" ht="22.5" customHeight="1" thickBot="1" thickTop="1">
      <c r="A63" s="66" t="s">
        <v>211</v>
      </c>
      <c r="B63" s="133">
        <v>154969</v>
      </c>
      <c r="C63" s="134">
        <v>1678545115</v>
      </c>
      <c r="D63" s="133">
        <v>57215</v>
      </c>
      <c r="E63" s="134">
        <v>40043499</v>
      </c>
      <c r="F63" s="133">
        <v>212184</v>
      </c>
      <c r="G63" s="134">
        <v>1718588613</v>
      </c>
      <c r="H63" s="133">
        <v>15237</v>
      </c>
      <c r="I63" s="135">
        <v>788593023</v>
      </c>
      <c r="J63" s="133">
        <v>8266</v>
      </c>
      <c r="K63" s="135">
        <v>607482</v>
      </c>
      <c r="L63" s="133">
        <v>229199</v>
      </c>
      <c r="M63" s="135">
        <v>930603071</v>
      </c>
      <c r="N63" s="67" t="s">
        <v>39</v>
      </c>
    </row>
    <row r="64" spans="1:14" s="136" customFormat="1" ht="3" customHeight="1">
      <c r="A64" s="95"/>
      <c r="B64" s="96"/>
      <c r="C64" s="96"/>
      <c r="D64" s="96"/>
      <c r="E64" s="96"/>
      <c r="F64" s="96"/>
      <c r="G64" s="96"/>
      <c r="H64" s="96"/>
      <c r="I64" s="96"/>
      <c r="J64" s="96"/>
      <c r="K64" s="96"/>
      <c r="L64" s="96"/>
      <c r="M64" s="96"/>
      <c r="N64" s="95"/>
    </row>
    <row r="65" spans="1:14" ht="22.5" customHeight="1">
      <c r="A65" s="270" t="s">
        <v>216</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消費税（R02）</oddFooter>
  </headerFooter>
</worksheet>
</file>

<file path=xl/worksheets/sheet6.xml><?xml version="1.0" encoding="utf-8"?>
<worksheet xmlns="http://schemas.openxmlformats.org/spreadsheetml/2006/main" xmlns:r="http://schemas.openxmlformats.org/officeDocument/2006/relationships">
  <dimension ref="A1:R64"/>
  <sheetViews>
    <sheetView showGridLines="0" zoomScale="70" zoomScaleNormal="70" zoomScaleSheetLayoutView="75" workbookViewId="0" topLeftCell="A46">
      <selection activeCell="S12" sqref="S12"/>
    </sheetView>
  </sheetViews>
  <sheetFormatPr defaultColWidth="9.00390625" defaultRowHeight="13.5"/>
  <cols>
    <col min="1" max="1" width="10.00390625" style="68" customWidth="1"/>
    <col min="2" max="2" width="10.625" style="68" customWidth="1"/>
    <col min="3" max="3" width="12.625" style="68" customWidth="1"/>
    <col min="4" max="4" width="10.625" style="68" customWidth="1"/>
    <col min="5" max="5" width="12.625" style="68" customWidth="1"/>
    <col min="6" max="6" width="10.625" style="68" customWidth="1"/>
    <col min="7" max="7" width="12.625" style="68" customWidth="1"/>
    <col min="8" max="8" width="10.625" style="68" customWidth="1"/>
    <col min="9" max="9" width="12.625" style="68" customWidth="1"/>
    <col min="10" max="10" width="10.625" style="68" customWidth="1"/>
    <col min="11" max="11" width="12.625" style="68" customWidth="1"/>
    <col min="12" max="12" width="10.625" style="68" customWidth="1"/>
    <col min="13" max="13" width="12.625" style="68" customWidth="1"/>
    <col min="14" max="17" width="10.625" style="68" customWidth="1"/>
    <col min="18" max="18" width="10.00390625" style="68" customWidth="1"/>
    <col min="19" max="16384" width="9.00390625" style="68" customWidth="1"/>
  </cols>
  <sheetData>
    <row r="1" spans="1:16" ht="12">
      <c r="A1" s="49" t="s">
        <v>220</v>
      </c>
      <c r="B1" s="49"/>
      <c r="C1" s="49"/>
      <c r="D1" s="49"/>
      <c r="E1" s="49"/>
      <c r="F1" s="49"/>
      <c r="G1" s="49"/>
      <c r="H1" s="49"/>
      <c r="I1" s="49"/>
      <c r="J1" s="49"/>
      <c r="K1" s="49"/>
      <c r="L1" s="50"/>
      <c r="M1" s="50"/>
      <c r="N1" s="50"/>
      <c r="O1" s="50"/>
      <c r="P1" s="50"/>
    </row>
    <row r="2" spans="1:16" ht="12" thickBot="1">
      <c r="A2" s="290" t="s">
        <v>147</v>
      </c>
      <c r="B2" s="290"/>
      <c r="C2" s="290"/>
      <c r="D2" s="290"/>
      <c r="E2" s="290"/>
      <c r="F2" s="290"/>
      <c r="G2" s="290"/>
      <c r="H2" s="290"/>
      <c r="I2" s="290"/>
      <c r="J2" s="49"/>
      <c r="K2" s="49"/>
      <c r="L2" s="50"/>
      <c r="M2" s="50"/>
      <c r="N2" s="50"/>
      <c r="O2" s="50"/>
      <c r="P2" s="50"/>
    </row>
    <row r="3" spans="1:18" ht="23.25" customHeight="1">
      <c r="A3" s="271" t="s">
        <v>150</v>
      </c>
      <c r="B3" s="274" t="s">
        <v>151</v>
      </c>
      <c r="C3" s="274"/>
      <c r="D3" s="274"/>
      <c r="E3" s="274"/>
      <c r="F3" s="274"/>
      <c r="G3" s="274"/>
      <c r="H3" s="291" t="s">
        <v>12</v>
      </c>
      <c r="I3" s="291"/>
      <c r="J3" s="292" t="s">
        <v>33</v>
      </c>
      <c r="K3" s="291"/>
      <c r="L3" s="274" t="s">
        <v>34</v>
      </c>
      <c r="M3" s="274"/>
      <c r="N3" s="294" t="s">
        <v>155</v>
      </c>
      <c r="O3" s="295"/>
      <c r="P3" s="295"/>
      <c r="Q3" s="295"/>
      <c r="R3" s="284" t="s">
        <v>146</v>
      </c>
    </row>
    <row r="4" spans="1:18" ht="23.25" customHeight="1">
      <c r="A4" s="272"/>
      <c r="B4" s="287" t="s">
        <v>14</v>
      </c>
      <c r="C4" s="287"/>
      <c r="D4" s="287" t="s">
        <v>36</v>
      </c>
      <c r="E4" s="287"/>
      <c r="F4" s="293" t="s">
        <v>37</v>
      </c>
      <c r="G4" s="293"/>
      <c r="H4" s="287"/>
      <c r="I4" s="287"/>
      <c r="J4" s="287"/>
      <c r="K4" s="287"/>
      <c r="L4" s="293"/>
      <c r="M4" s="293"/>
      <c r="N4" s="296" t="s">
        <v>148</v>
      </c>
      <c r="O4" s="298" t="s">
        <v>156</v>
      </c>
      <c r="P4" s="300" t="s">
        <v>157</v>
      </c>
      <c r="Q4" s="283" t="s">
        <v>149</v>
      </c>
      <c r="R4" s="285"/>
    </row>
    <row r="5" spans="1:18" ht="30" customHeight="1">
      <c r="A5" s="273"/>
      <c r="B5" s="142" t="s">
        <v>215</v>
      </c>
      <c r="C5" s="87" t="s">
        <v>152</v>
      </c>
      <c r="D5" s="52" t="s">
        <v>215</v>
      </c>
      <c r="E5" s="87" t="s">
        <v>152</v>
      </c>
      <c r="F5" s="52" t="s">
        <v>215</v>
      </c>
      <c r="G5" s="88" t="s">
        <v>212</v>
      </c>
      <c r="H5" s="141" t="s">
        <v>215</v>
      </c>
      <c r="I5" s="52" t="s">
        <v>213</v>
      </c>
      <c r="J5" s="142" t="s">
        <v>215</v>
      </c>
      <c r="K5" s="88" t="s">
        <v>214</v>
      </c>
      <c r="L5" s="141" t="s">
        <v>215</v>
      </c>
      <c r="M5" s="88" t="s">
        <v>158</v>
      </c>
      <c r="N5" s="297"/>
      <c r="O5" s="299"/>
      <c r="P5" s="301"/>
      <c r="Q5" s="302"/>
      <c r="R5" s="286"/>
    </row>
    <row r="6" spans="1:18" s="76" customFormat="1" ht="12">
      <c r="A6" s="70"/>
      <c r="B6" s="71" t="s">
        <v>4</v>
      </c>
      <c r="C6" s="72" t="s">
        <v>5</v>
      </c>
      <c r="D6" s="71" t="s">
        <v>4</v>
      </c>
      <c r="E6" s="72" t="s">
        <v>5</v>
      </c>
      <c r="F6" s="71" t="s">
        <v>4</v>
      </c>
      <c r="G6" s="72" t="s">
        <v>5</v>
      </c>
      <c r="H6" s="71" t="s">
        <v>4</v>
      </c>
      <c r="I6" s="72" t="s">
        <v>5</v>
      </c>
      <c r="J6" s="71" t="s">
        <v>4</v>
      </c>
      <c r="K6" s="72" t="s">
        <v>5</v>
      </c>
      <c r="L6" s="71" t="s">
        <v>218</v>
      </c>
      <c r="M6" s="72" t="s">
        <v>5</v>
      </c>
      <c r="N6" s="71" t="s">
        <v>4</v>
      </c>
      <c r="O6" s="73" t="s">
        <v>4</v>
      </c>
      <c r="P6" s="73" t="s">
        <v>4</v>
      </c>
      <c r="Q6" s="74" t="s">
        <v>4</v>
      </c>
      <c r="R6" s="75"/>
    </row>
    <row r="7" spans="1:18" ht="25.5" customHeight="1">
      <c r="A7" s="77" t="s">
        <v>41</v>
      </c>
      <c r="B7" s="113">
        <f>_xlfn.COMPOUNDVALUE(385)</f>
        <v>6368</v>
      </c>
      <c r="C7" s="114">
        <v>37640189</v>
      </c>
      <c r="D7" s="113">
        <f>_xlfn.COMPOUNDVALUE(386)</f>
        <v>4131</v>
      </c>
      <c r="E7" s="114">
        <v>2379768</v>
      </c>
      <c r="F7" s="113">
        <f>_xlfn.COMPOUNDVALUE(387)</f>
        <v>10499</v>
      </c>
      <c r="G7" s="114">
        <v>40019957</v>
      </c>
      <c r="H7" s="113">
        <f>_xlfn.COMPOUNDVALUE(388)</f>
        <v>616</v>
      </c>
      <c r="I7" s="115">
        <v>1844884</v>
      </c>
      <c r="J7" s="113">
        <v>442</v>
      </c>
      <c r="K7" s="115">
        <v>88287</v>
      </c>
      <c r="L7" s="113">
        <v>11313</v>
      </c>
      <c r="M7" s="115">
        <v>38263359</v>
      </c>
      <c r="N7" s="213">
        <v>11067</v>
      </c>
      <c r="O7" s="214">
        <v>272</v>
      </c>
      <c r="P7" s="214">
        <v>21</v>
      </c>
      <c r="Q7" s="215">
        <v>11360</v>
      </c>
      <c r="R7" s="78" t="s">
        <v>42</v>
      </c>
    </row>
    <row r="8" spans="1:18" ht="25.5" customHeight="1">
      <c r="A8" s="79" t="s">
        <v>43</v>
      </c>
      <c r="B8" s="116">
        <f>_xlfn.COMPOUNDVALUE(389)</f>
        <v>5922</v>
      </c>
      <c r="C8" s="117">
        <v>43197762</v>
      </c>
      <c r="D8" s="116">
        <f>_xlfn.COMPOUNDVALUE(390)</f>
        <v>3458</v>
      </c>
      <c r="E8" s="117">
        <v>2036574</v>
      </c>
      <c r="F8" s="116">
        <f>_xlfn.COMPOUNDVALUE(391)</f>
        <v>9380</v>
      </c>
      <c r="G8" s="117">
        <v>45234336</v>
      </c>
      <c r="H8" s="116">
        <f>_xlfn.COMPOUNDVALUE(392)</f>
        <v>561</v>
      </c>
      <c r="I8" s="118">
        <v>1828866</v>
      </c>
      <c r="J8" s="116">
        <v>442</v>
      </c>
      <c r="K8" s="118">
        <v>42447</v>
      </c>
      <c r="L8" s="116">
        <v>10083</v>
      </c>
      <c r="M8" s="118">
        <v>43447918</v>
      </c>
      <c r="N8" s="213">
        <v>9868</v>
      </c>
      <c r="O8" s="214">
        <v>252</v>
      </c>
      <c r="P8" s="214">
        <v>32</v>
      </c>
      <c r="Q8" s="215">
        <v>10152</v>
      </c>
      <c r="R8" s="80" t="s">
        <v>44</v>
      </c>
    </row>
    <row r="9" spans="1:18" ht="25.5" customHeight="1">
      <c r="A9" s="79" t="s">
        <v>45</v>
      </c>
      <c r="B9" s="116">
        <f>_xlfn.COMPOUNDVALUE(393)</f>
        <v>4889</v>
      </c>
      <c r="C9" s="117">
        <v>44558847</v>
      </c>
      <c r="D9" s="116">
        <f>_xlfn.COMPOUNDVALUE(394)</f>
        <v>3236</v>
      </c>
      <c r="E9" s="117">
        <v>1775845</v>
      </c>
      <c r="F9" s="116">
        <f>_xlfn.COMPOUNDVALUE(395)</f>
        <v>8125</v>
      </c>
      <c r="G9" s="117">
        <v>46334692</v>
      </c>
      <c r="H9" s="116">
        <f>_xlfn.COMPOUNDVALUE(396)</f>
        <v>576</v>
      </c>
      <c r="I9" s="118">
        <v>14854704</v>
      </c>
      <c r="J9" s="116">
        <v>271</v>
      </c>
      <c r="K9" s="118">
        <v>-6969</v>
      </c>
      <c r="L9" s="116">
        <v>8785</v>
      </c>
      <c r="M9" s="118">
        <v>31473019</v>
      </c>
      <c r="N9" s="213">
        <v>8401</v>
      </c>
      <c r="O9" s="214">
        <v>281</v>
      </c>
      <c r="P9" s="214">
        <v>25</v>
      </c>
      <c r="Q9" s="215">
        <v>8707</v>
      </c>
      <c r="R9" s="80" t="s">
        <v>46</v>
      </c>
    </row>
    <row r="10" spans="1:18" ht="25.5" customHeight="1">
      <c r="A10" s="79" t="s">
        <v>47</v>
      </c>
      <c r="B10" s="116">
        <f>_xlfn.COMPOUNDVALUE(397)</f>
        <v>2498</v>
      </c>
      <c r="C10" s="117">
        <v>12139174</v>
      </c>
      <c r="D10" s="116">
        <f>_xlfn.COMPOUNDVALUE(398)</f>
        <v>2111</v>
      </c>
      <c r="E10" s="117">
        <v>1008498</v>
      </c>
      <c r="F10" s="116">
        <f>_xlfn.COMPOUNDVALUE(399)</f>
        <v>4609</v>
      </c>
      <c r="G10" s="117">
        <v>13147672</v>
      </c>
      <c r="H10" s="116">
        <f>_xlfn.COMPOUNDVALUE(400)</f>
        <v>271</v>
      </c>
      <c r="I10" s="118">
        <v>638825</v>
      </c>
      <c r="J10" s="116">
        <v>145</v>
      </c>
      <c r="K10" s="118">
        <v>25699</v>
      </c>
      <c r="L10" s="116">
        <v>4926</v>
      </c>
      <c r="M10" s="118">
        <v>12534546</v>
      </c>
      <c r="N10" s="213">
        <v>4595</v>
      </c>
      <c r="O10" s="214">
        <v>142</v>
      </c>
      <c r="P10" s="214">
        <v>9</v>
      </c>
      <c r="Q10" s="215">
        <v>4746</v>
      </c>
      <c r="R10" s="80" t="s">
        <v>48</v>
      </c>
    </row>
    <row r="11" spans="1:18" ht="25.5" customHeight="1">
      <c r="A11" s="79" t="s">
        <v>49</v>
      </c>
      <c r="B11" s="116">
        <f>_xlfn.COMPOUNDVALUE(401)</f>
        <v>3933</v>
      </c>
      <c r="C11" s="117">
        <v>26346300</v>
      </c>
      <c r="D11" s="116">
        <f>_xlfn.COMPOUNDVALUE(402)</f>
        <v>3081</v>
      </c>
      <c r="E11" s="117">
        <v>1645784</v>
      </c>
      <c r="F11" s="116">
        <f>_xlfn.COMPOUNDVALUE(403)</f>
        <v>7014</v>
      </c>
      <c r="G11" s="117">
        <v>27992084</v>
      </c>
      <c r="H11" s="116">
        <f>_xlfn.COMPOUNDVALUE(404)</f>
        <v>373</v>
      </c>
      <c r="I11" s="118">
        <v>1102594</v>
      </c>
      <c r="J11" s="116">
        <v>263</v>
      </c>
      <c r="K11" s="118">
        <v>60929</v>
      </c>
      <c r="L11" s="116">
        <v>7462</v>
      </c>
      <c r="M11" s="118">
        <v>26950419</v>
      </c>
      <c r="N11" s="213">
        <v>7222</v>
      </c>
      <c r="O11" s="214">
        <v>205</v>
      </c>
      <c r="P11" s="214">
        <v>23</v>
      </c>
      <c r="Q11" s="215">
        <v>7450</v>
      </c>
      <c r="R11" s="80" t="s">
        <v>50</v>
      </c>
    </row>
    <row r="12" spans="1:18" ht="25.5" customHeight="1">
      <c r="A12" s="79" t="s">
        <v>51</v>
      </c>
      <c r="B12" s="116">
        <f>_xlfn.COMPOUNDVALUE(405)</f>
        <v>3913</v>
      </c>
      <c r="C12" s="117">
        <v>23841631</v>
      </c>
      <c r="D12" s="116">
        <f>_xlfn.COMPOUNDVALUE(406)</f>
        <v>2709</v>
      </c>
      <c r="E12" s="117">
        <v>1404291</v>
      </c>
      <c r="F12" s="116">
        <f>_xlfn.COMPOUNDVALUE(407)</f>
        <v>6622</v>
      </c>
      <c r="G12" s="117">
        <v>25245922</v>
      </c>
      <c r="H12" s="116">
        <f>_xlfn.COMPOUNDVALUE(408)</f>
        <v>399</v>
      </c>
      <c r="I12" s="118">
        <v>859859</v>
      </c>
      <c r="J12" s="116">
        <v>227</v>
      </c>
      <c r="K12" s="118">
        <v>13114</v>
      </c>
      <c r="L12" s="116">
        <v>7091</v>
      </c>
      <c r="M12" s="118">
        <v>24399177</v>
      </c>
      <c r="N12" s="213">
        <v>6779</v>
      </c>
      <c r="O12" s="214">
        <v>183</v>
      </c>
      <c r="P12" s="214">
        <v>15</v>
      </c>
      <c r="Q12" s="215">
        <v>6977</v>
      </c>
      <c r="R12" s="80" t="s">
        <v>52</v>
      </c>
    </row>
    <row r="13" spans="1:18" ht="25.5" customHeight="1">
      <c r="A13" s="170" t="s">
        <v>53</v>
      </c>
      <c r="B13" s="171">
        <f>_xlfn.COMPOUNDVALUE(409)</f>
        <v>1604</v>
      </c>
      <c r="C13" s="172">
        <v>11881726</v>
      </c>
      <c r="D13" s="171">
        <f>_xlfn.COMPOUNDVALUE(410)</f>
        <v>1240</v>
      </c>
      <c r="E13" s="172">
        <v>652881</v>
      </c>
      <c r="F13" s="171">
        <f>_xlfn.COMPOUNDVALUE(411)</f>
        <v>2844</v>
      </c>
      <c r="G13" s="172">
        <v>12534607</v>
      </c>
      <c r="H13" s="171">
        <f>_xlfn.COMPOUNDVALUE(412)</f>
        <v>151</v>
      </c>
      <c r="I13" s="173">
        <v>246434</v>
      </c>
      <c r="J13" s="171">
        <v>108</v>
      </c>
      <c r="K13" s="173">
        <v>-4433</v>
      </c>
      <c r="L13" s="171">
        <v>3028</v>
      </c>
      <c r="M13" s="173">
        <v>12283740</v>
      </c>
      <c r="N13" s="216">
        <v>2974</v>
      </c>
      <c r="O13" s="217">
        <v>83</v>
      </c>
      <c r="P13" s="217">
        <v>11</v>
      </c>
      <c r="Q13" s="218">
        <v>3068</v>
      </c>
      <c r="R13" s="174" t="s">
        <v>54</v>
      </c>
    </row>
    <row r="14" spans="1:18" ht="25.5" customHeight="1">
      <c r="A14" s="175" t="s">
        <v>55</v>
      </c>
      <c r="B14" s="176">
        <v>29127</v>
      </c>
      <c r="C14" s="177">
        <v>199605628</v>
      </c>
      <c r="D14" s="176">
        <v>19966</v>
      </c>
      <c r="E14" s="177">
        <v>10903641</v>
      </c>
      <c r="F14" s="176">
        <v>49093</v>
      </c>
      <c r="G14" s="177">
        <v>210509269</v>
      </c>
      <c r="H14" s="176">
        <v>2947</v>
      </c>
      <c r="I14" s="178">
        <v>21376166</v>
      </c>
      <c r="J14" s="176">
        <v>1898</v>
      </c>
      <c r="K14" s="178">
        <v>219074</v>
      </c>
      <c r="L14" s="176">
        <v>52688</v>
      </c>
      <c r="M14" s="178">
        <v>189352177</v>
      </c>
      <c r="N14" s="219">
        <v>50906</v>
      </c>
      <c r="O14" s="220">
        <v>1418</v>
      </c>
      <c r="P14" s="220">
        <v>136</v>
      </c>
      <c r="Q14" s="221">
        <v>52460</v>
      </c>
      <c r="R14" s="179" t="s">
        <v>56</v>
      </c>
    </row>
    <row r="15" spans="1:18" ht="25.5" customHeight="1">
      <c r="A15" s="180"/>
      <c r="B15" s="181"/>
      <c r="C15" s="182"/>
      <c r="D15" s="181"/>
      <c r="E15" s="182"/>
      <c r="F15" s="183"/>
      <c r="G15" s="182"/>
      <c r="H15" s="183"/>
      <c r="I15" s="182"/>
      <c r="J15" s="183"/>
      <c r="K15" s="182"/>
      <c r="L15" s="183"/>
      <c r="M15" s="182"/>
      <c r="N15" s="222"/>
      <c r="O15" s="223"/>
      <c r="P15" s="223"/>
      <c r="Q15" s="224"/>
      <c r="R15" s="184" t="s">
        <v>40</v>
      </c>
    </row>
    <row r="16" spans="1:18" ht="25.5" customHeight="1">
      <c r="A16" s="77" t="s">
        <v>57</v>
      </c>
      <c r="B16" s="113">
        <f>_xlfn.COMPOUNDVALUE(413)</f>
        <v>7047</v>
      </c>
      <c r="C16" s="114">
        <v>63036639</v>
      </c>
      <c r="D16" s="113">
        <f>_xlfn.COMPOUNDVALUE(414)</f>
        <v>5384</v>
      </c>
      <c r="E16" s="114">
        <v>3211446</v>
      </c>
      <c r="F16" s="113">
        <f>_xlfn.COMPOUNDVALUE(415)</f>
        <v>12431</v>
      </c>
      <c r="G16" s="114">
        <v>66248085</v>
      </c>
      <c r="H16" s="113">
        <f>_xlfn.COMPOUNDVALUE(416)</f>
        <v>593</v>
      </c>
      <c r="I16" s="115">
        <v>3562333</v>
      </c>
      <c r="J16" s="113">
        <v>606</v>
      </c>
      <c r="K16" s="115">
        <v>112391</v>
      </c>
      <c r="L16" s="113">
        <v>13218</v>
      </c>
      <c r="M16" s="115">
        <v>62798143</v>
      </c>
      <c r="N16" s="213">
        <v>12895</v>
      </c>
      <c r="O16" s="214">
        <v>339</v>
      </c>
      <c r="P16" s="214">
        <v>40</v>
      </c>
      <c r="Q16" s="215">
        <v>13274</v>
      </c>
      <c r="R16" s="78" t="s">
        <v>58</v>
      </c>
    </row>
    <row r="17" spans="1:18" ht="25.5" customHeight="1">
      <c r="A17" s="77" t="s">
        <v>59</v>
      </c>
      <c r="B17" s="113">
        <f>_xlfn.COMPOUNDVALUE(417)</f>
        <v>3148</v>
      </c>
      <c r="C17" s="114">
        <v>24177211</v>
      </c>
      <c r="D17" s="113">
        <f>_xlfn.COMPOUNDVALUE(418)</f>
        <v>2561</v>
      </c>
      <c r="E17" s="114">
        <v>1399680</v>
      </c>
      <c r="F17" s="113">
        <f>_xlfn.COMPOUNDVALUE(419)</f>
        <v>5709</v>
      </c>
      <c r="G17" s="114">
        <v>25576891</v>
      </c>
      <c r="H17" s="113">
        <f>_xlfn.COMPOUNDVALUE(420)</f>
        <v>294</v>
      </c>
      <c r="I17" s="115">
        <v>1919934</v>
      </c>
      <c r="J17" s="113">
        <v>334</v>
      </c>
      <c r="K17" s="115">
        <v>162931</v>
      </c>
      <c r="L17" s="113">
        <v>6101</v>
      </c>
      <c r="M17" s="115">
        <v>23819888</v>
      </c>
      <c r="N17" s="213">
        <v>6123</v>
      </c>
      <c r="O17" s="214">
        <v>147</v>
      </c>
      <c r="P17" s="214">
        <v>13</v>
      </c>
      <c r="Q17" s="215">
        <v>6283</v>
      </c>
      <c r="R17" s="80" t="s">
        <v>60</v>
      </c>
    </row>
    <row r="18" spans="1:18" ht="25.5" customHeight="1">
      <c r="A18" s="77" t="s">
        <v>61</v>
      </c>
      <c r="B18" s="113">
        <f>_xlfn.COMPOUNDVALUE(421)</f>
        <v>6794</v>
      </c>
      <c r="C18" s="114">
        <v>50637013</v>
      </c>
      <c r="D18" s="113">
        <f>_xlfn.COMPOUNDVALUE(422)</f>
        <v>5826</v>
      </c>
      <c r="E18" s="114">
        <v>3186424</v>
      </c>
      <c r="F18" s="113">
        <f>_xlfn.COMPOUNDVALUE(423)</f>
        <v>12620</v>
      </c>
      <c r="G18" s="114">
        <v>53823437</v>
      </c>
      <c r="H18" s="113">
        <f>_xlfn.COMPOUNDVALUE(424)</f>
        <v>811</v>
      </c>
      <c r="I18" s="115">
        <v>7892426</v>
      </c>
      <c r="J18" s="113">
        <v>563</v>
      </c>
      <c r="K18" s="115">
        <v>148728</v>
      </c>
      <c r="L18" s="113">
        <v>13593</v>
      </c>
      <c r="M18" s="115">
        <v>46079739</v>
      </c>
      <c r="N18" s="213">
        <v>13477</v>
      </c>
      <c r="O18" s="214">
        <v>462</v>
      </c>
      <c r="P18" s="214">
        <v>34</v>
      </c>
      <c r="Q18" s="215">
        <v>13973</v>
      </c>
      <c r="R18" s="80" t="s">
        <v>62</v>
      </c>
    </row>
    <row r="19" spans="1:18" ht="25.5" customHeight="1">
      <c r="A19" s="77" t="s">
        <v>63</v>
      </c>
      <c r="B19" s="113">
        <f>_xlfn.COMPOUNDVALUE(425)</f>
        <v>4871</v>
      </c>
      <c r="C19" s="114">
        <v>34909201</v>
      </c>
      <c r="D19" s="113">
        <f>_xlfn.COMPOUNDVALUE(426)</f>
        <v>3421</v>
      </c>
      <c r="E19" s="114">
        <v>1906041</v>
      </c>
      <c r="F19" s="113">
        <f>_xlfn.COMPOUNDVALUE(427)</f>
        <v>8292</v>
      </c>
      <c r="G19" s="114">
        <v>36815241</v>
      </c>
      <c r="H19" s="113">
        <f>_xlfn.COMPOUNDVALUE(428)</f>
        <v>475</v>
      </c>
      <c r="I19" s="115">
        <v>20340019</v>
      </c>
      <c r="J19" s="113">
        <v>359</v>
      </c>
      <c r="K19" s="115">
        <v>27713</v>
      </c>
      <c r="L19" s="113">
        <v>8868</v>
      </c>
      <c r="M19" s="115">
        <v>16502936</v>
      </c>
      <c r="N19" s="213">
        <v>9314</v>
      </c>
      <c r="O19" s="214">
        <v>261</v>
      </c>
      <c r="P19" s="214">
        <v>16</v>
      </c>
      <c r="Q19" s="215">
        <v>9591</v>
      </c>
      <c r="R19" s="80" t="s">
        <v>64</v>
      </c>
    </row>
    <row r="20" spans="1:18" ht="25.5" customHeight="1">
      <c r="A20" s="77" t="s">
        <v>65</v>
      </c>
      <c r="B20" s="113">
        <f>_xlfn.COMPOUNDVALUE(429)</f>
        <v>5331</v>
      </c>
      <c r="C20" s="114">
        <v>37108929</v>
      </c>
      <c r="D20" s="113">
        <f>_xlfn.COMPOUNDVALUE(430)</f>
        <v>4298</v>
      </c>
      <c r="E20" s="114">
        <v>2530029</v>
      </c>
      <c r="F20" s="113">
        <f>_xlfn.COMPOUNDVALUE(431)</f>
        <v>9629</v>
      </c>
      <c r="G20" s="114">
        <v>39638958</v>
      </c>
      <c r="H20" s="113">
        <f>_xlfn.COMPOUNDVALUE(432)</f>
        <v>437</v>
      </c>
      <c r="I20" s="115">
        <v>2825046</v>
      </c>
      <c r="J20" s="113">
        <v>434</v>
      </c>
      <c r="K20" s="115">
        <v>57389</v>
      </c>
      <c r="L20" s="113">
        <v>10184</v>
      </c>
      <c r="M20" s="115">
        <v>36871301</v>
      </c>
      <c r="N20" s="213">
        <v>9907</v>
      </c>
      <c r="O20" s="214">
        <v>276</v>
      </c>
      <c r="P20" s="214">
        <v>27</v>
      </c>
      <c r="Q20" s="215">
        <v>10210</v>
      </c>
      <c r="R20" s="80" t="s">
        <v>66</v>
      </c>
    </row>
    <row r="21" spans="1:18" ht="25.5" customHeight="1">
      <c r="A21" s="77" t="s">
        <v>67</v>
      </c>
      <c r="B21" s="113">
        <f>_xlfn.COMPOUNDVALUE(433)</f>
        <v>1584</v>
      </c>
      <c r="C21" s="114">
        <v>5025420</v>
      </c>
      <c r="D21" s="113">
        <f>_xlfn.COMPOUNDVALUE(434)</f>
        <v>1464</v>
      </c>
      <c r="E21" s="114">
        <v>770349</v>
      </c>
      <c r="F21" s="113">
        <f>_xlfn.COMPOUNDVALUE(435)</f>
        <v>3048</v>
      </c>
      <c r="G21" s="114">
        <v>5795769</v>
      </c>
      <c r="H21" s="113">
        <f>_xlfn.COMPOUNDVALUE(436)</f>
        <v>193</v>
      </c>
      <c r="I21" s="115">
        <v>417701</v>
      </c>
      <c r="J21" s="113">
        <v>146</v>
      </c>
      <c r="K21" s="115">
        <v>23848</v>
      </c>
      <c r="L21" s="113">
        <v>3275</v>
      </c>
      <c r="M21" s="115">
        <v>5401916</v>
      </c>
      <c r="N21" s="213">
        <v>3236</v>
      </c>
      <c r="O21" s="214">
        <v>100</v>
      </c>
      <c r="P21" s="214">
        <v>12</v>
      </c>
      <c r="Q21" s="215">
        <v>3348</v>
      </c>
      <c r="R21" s="80" t="s">
        <v>68</v>
      </c>
    </row>
    <row r="22" spans="1:18" ht="25.5" customHeight="1">
      <c r="A22" s="79" t="s">
        <v>69</v>
      </c>
      <c r="B22" s="116">
        <f>_xlfn.COMPOUNDVALUE(437)</f>
        <v>2619</v>
      </c>
      <c r="C22" s="117">
        <v>13427315</v>
      </c>
      <c r="D22" s="116">
        <f>_xlfn.COMPOUNDVALUE(438)</f>
        <v>2660</v>
      </c>
      <c r="E22" s="117">
        <v>1394690</v>
      </c>
      <c r="F22" s="116">
        <f>_xlfn.COMPOUNDVALUE(439)</f>
        <v>5279</v>
      </c>
      <c r="G22" s="117">
        <v>14822005</v>
      </c>
      <c r="H22" s="116">
        <f>_xlfn.COMPOUNDVALUE(440)</f>
        <v>224</v>
      </c>
      <c r="I22" s="118">
        <v>357875</v>
      </c>
      <c r="J22" s="116">
        <v>268</v>
      </c>
      <c r="K22" s="118">
        <v>-481</v>
      </c>
      <c r="L22" s="116">
        <v>5584</v>
      </c>
      <c r="M22" s="118">
        <v>14463649</v>
      </c>
      <c r="N22" s="213">
        <v>5516</v>
      </c>
      <c r="O22" s="214">
        <v>154</v>
      </c>
      <c r="P22" s="214">
        <v>13</v>
      </c>
      <c r="Q22" s="215">
        <v>5683</v>
      </c>
      <c r="R22" s="80" t="s">
        <v>70</v>
      </c>
    </row>
    <row r="23" spans="1:18" ht="25.5" customHeight="1">
      <c r="A23" s="79" t="s">
        <v>71</v>
      </c>
      <c r="B23" s="116">
        <f>_xlfn.COMPOUNDVALUE(441)</f>
        <v>2351</v>
      </c>
      <c r="C23" s="117">
        <v>14214134</v>
      </c>
      <c r="D23" s="116">
        <f>_xlfn.COMPOUNDVALUE(442)</f>
        <v>2122</v>
      </c>
      <c r="E23" s="117">
        <v>972378</v>
      </c>
      <c r="F23" s="116">
        <f>_xlfn.COMPOUNDVALUE(443)</f>
        <v>4473</v>
      </c>
      <c r="G23" s="117">
        <v>15186512</v>
      </c>
      <c r="H23" s="116">
        <f>_xlfn.COMPOUNDVALUE(444)</f>
        <v>223</v>
      </c>
      <c r="I23" s="118">
        <v>2833944</v>
      </c>
      <c r="J23" s="116">
        <v>169</v>
      </c>
      <c r="K23" s="118">
        <v>14443</v>
      </c>
      <c r="L23" s="116">
        <v>4744</v>
      </c>
      <c r="M23" s="118">
        <v>12367011</v>
      </c>
      <c r="N23" s="213">
        <v>4585</v>
      </c>
      <c r="O23" s="214">
        <v>120</v>
      </c>
      <c r="P23" s="214">
        <v>12</v>
      </c>
      <c r="Q23" s="215">
        <v>4717</v>
      </c>
      <c r="R23" s="80" t="s">
        <v>72</v>
      </c>
    </row>
    <row r="24" spans="1:18" ht="25.5" customHeight="1">
      <c r="A24" s="79" t="s">
        <v>73</v>
      </c>
      <c r="B24" s="116">
        <f>_xlfn.COMPOUNDVALUE(445)</f>
        <v>5137</v>
      </c>
      <c r="C24" s="117">
        <v>34171808</v>
      </c>
      <c r="D24" s="116">
        <f>_xlfn.COMPOUNDVALUE(446)</f>
        <v>4109</v>
      </c>
      <c r="E24" s="117">
        <v>2272467</v>
      </c>
      <c r="F24" s="116">
        <f>_xlfn.COMPOUNDVALUE(447)</f>
        <v>9246</v>
      </c>
      <c r="G24" s="117">
        <v>36444274</v>
      </c>
      <c r="H24" s="116">
        <f>_xlfn.COMPOUNDVALUE(448)</f>
        <v>449</v>
      </c>
      <c r="I24" s="118">
        <v>6312120</v>
      </c>
      <c r="J24" s="116">
        <v>479</v>
      </c>
      <c r="K24" s="118">
        <v>103291</v>
      </c>
      <c r="L24" s="116">
        <v>9840</v>
      </c>
      <c r="M24" s="118">
        <v>30235445</v>
      </c>
      <c r="N24" s="213">
        <v>9433</v>
      </c>
      <c r="O24" s="214">
        <v>228</v>
      </c>
      <c r="P24" s="214">
        <v>22</v>
      </c>
      <c r="Q24" s="215">
        <v>9683</v>
      </c>
      <c r="R24" s="80" t="s">
        <v>74</v>
      </c>
    </row>
    <row r="25" spans="1:18" ht="25.5" customHeight="1">
      <c r="A25" s="79" t="s">
        <v>75</v>
      </c>
      <c r="B25" s="116">
        <f>_xlfn.COMPOUNDVALUE(449)</f>
        <v>3004</v>
      </c>
      <c r="C25" s="117">
        <v>21130675</v>
      </c>
      <c r="D25" s="116">
        <f>_xlfn.COMPOUNDVALUE(450)</f>
        <v>2557</v>
      </c>
      <c r="E25" s="117">
        <v>1298864</v>
      </c>
      <c r="F25" s="116">
        <f>_xlfn.COMPOUNDVALUE(451)</f>
        <v>5561</v>
      </c>
      <c r="G25" s="117">
        <v>22429539</v>
      </c>
      <c r="H25" s="116">
        <f>_xlfn.COMPOUNDVALUE(452)</f>
        <v>320</v>
      </c>
      <c r="I25" s="118">
        <v>24555133</v>
      </c>
      <c r="J25" s="116">
        <v>202</v>
      </c>
      <c r="K25" s="118">
        <v>36330</v>
      </c>
      <c r="L25" s="116">
        <v>5946</v>
      </c>
      <c r="M25" s="118">
        <v>-2089264</v>
      </c>
      <c r="N25" s="213">
        <v>6159</v>
      </c>
      <c r="O25" s="214">
        <v>206</v>
      </c>
      <c r="P25" s="214">
        <v>10</v>
      </c>
      <c r="Q25" s="215">
        <v>6375</v>
      </c>
      <c r="R25" s="80" t="s">
        <v>76</v>
      </c>
    </row>
    <row r="26" spans="1:18" ht="25.5" customHeight="1">
      <c r="A26" s="79" t="s">
        <v>77</v>
      </c>
      <c r="B26" s="116">
        <f>_xlfn.COMPOUNDVALUE(453)</f>
        <v>2284</v>
      </c>
      <c r="C26" s="117">
        <v>12041221</v>
      </c>
      <c r="D26" s="116">
        <f>_xlfn.COMPOUNDVALUE(454)</f>
        <v>2088</v>
      </c>
      <c r="E26" s="117">
        <v>971112</v>
      </c>
      <c r="F26" s="116">
        <f>_xlfn.COMPOUNDVALUE(455)</f>
        <v>4372</v>
      </c>
      <c r="G26" s="117">
        <v>13012333</v>
      </c>
      <c r="H26" s="116">
        <f>_xlfn.COMPOUNDVALUE(456)</f>
        <v>247</v>
      </c>
      <c r="I26" s="118">
        <v>10462635</v>
      </c>
      <c r="J26" s="116">
        <v>211</v>
      </c>
      <c r="K26" s="118">
        <v>54564</v>
      </c>
      <c r="L26" s="116">
        <v>4674</v>
      </c>
      <c r="M26" s="118">
        <v>2604261</v>
      </c>
      <c r="N26" s="213">
        <v>4373</v>
      </c>
      <c r="O26" s="214">
        <v>139</v>
      </c>
      <c r="P26" s="214">
        <v>9</v>
      </c>
      <c r="Q26" s="215">
        <v>4521</v>
      </c>
      <c r="R26" s="80" t="s">
        <v>78</v>
      </c>
    </row>
    <row r="27" spans="1:18" ht="25.5" customHeight="1">
      <c r="A27" s="79" t="s">
        <v>79</v>
      </c>
      <c r="B27" s="116">
        <f>_xlfn.COMPOUNDVALUE(457)</f>
        <v>3338</v>
      </c>
      <c r="C27" s="117">
        <v>18526726</v>
      </c>
      <c r="D27" s="116">
        <f>_xlfn.COMPOUNDVALUE(458)</f>
        <v>2674</v>
      </c>
      <c r="E27" s="117">
        <v>1457694</v>
      </c>
      <c r="F27" s="116">
        <f>_xlfn.COMPOUNDVALUE(459)</f>
        <v>6012</v>
      </c>
      <c r="G27" s="117">
        <v>19984419</v>
      </c>
      <c r="H27" s="116">
        <f>_xlfn.COMPOUNDVALUE(460)</f>
        <v>298</v>
      </c>
      <c r="I27" s="118">
        <v>1046992</v>
      </c>
      <c r="J27" s="116">
        <v>326</v>
      </c>
      <c r="K27" s="118">
        <v>75516</v>
      </c>
      <c r="L27" s="116">
        <v>6405</v>
      </c>
      <c r="M27" s="118">
        <v>19012944</v>
      </c>
      <c r="N27" s="213">
        <v>6274</v>
      </c>
      <c r="O27" s="214">
        <v>110</v>
      </c>
      <c r="P27" s="214">
        <v>18</v>
      </c>
      <c r="Q27" s="215">
        <v>6402</v>
      </c>
      <c r="R27" s="80" t="s">
        <v>80</v>
      </c>
    </row>
    <row r="28" spans="1:18" ht="25.5" customHeight="1">
      <c r="A28" s="170" t="s">
        <v>81</v>
      </c>
      <c r="B28" s="171">
        <f>_xlfn.COMPOUNDVALUE(461)</f>
        <v>911</v>
      </c>
      <c r="C28" s="172">
        <v>2816875</v>
      </c>
      <c r="D28" s="171">
        <f>_xlfn.COMPOUNDVALUE(462)</f>
        <v>885</v>
      </c>
      <c r="E28" s="172">
        <v>401402</v>
      </c>
      <c r="F28" s="171">
        <f>_xlfn.COMPOUNDVALUE(463)</f>
        <v>1796</v>
      </c>
      <c r="G28" s="172">
        <v>3218277</v>
      </c>
      <c r="H28" s="171">
        <f>_xlfn.COMPOUNDVALUE(464)</f>
        <v>93</v>
      </c>
      <c r="I28" s="173">
        <v>138116</v>
      </c>
      <c r="J28" s="171">
        <v>42</v>
      </c>
      <c r="K28" s="173">
        <v>5418</v>
      </c>
      <c r="L28" s="171">
        <v>1905</v>
      </c>
      <c r="M28" s="173">
        <v>3085579</v>
      </c>
      <c r="N28" s="225">
        <v>1792</v>
      </c>
      <c r="O28" s="226">
        <v>43</v>
      </c>
      <c r="P28" s="226">
        <v>2</v>
      </c>
      <c r="Q28" s="227">
        <v>1837</v>
      </c>
      <c r="R28" s="174" t="s">
        <v>82</v>
      </c>
    </row>
    <row r="29" spans="1:18" ht="25.5" customHeight="1">
      <c r="A29" s="175" t="s">
        <v>83</v>
      </c>
      <c r="B29" s="176">
        <v>48419</v>
      </c>
      <c r="C29" s="177">
        <v>331223165</v>
      </c>
      <c r="D29" s="176">
        <v>40049</v>
      </c>
      <c r="E29" s="177">
        <v>21772576</v>
      </c>
      <c r="F29" s="176">
        <v>88468</v>
      </c>
      <c r="G29" s="177">
        <v>352995740</v>
      </c>
      <c r="H29" s="176">
        <v>4657</v>
      </c>
      <c r="I29" s="178">
        <v>82664274</v>
      </c>
      <c r="J29" s="176">
        <v>4139</v>
      </c>
      <c r="K29" s="178">
        <v>822082</v>
      </c>
      <c r="L29" s="176">
        <v>94337</v>
      </c>
      <c r="M29" s="178">
        <v>271153548</v>
      </c>
      <c r="N29" s="219">
        <v>93084</v>
      </c>
      <c r="O29" s="220">
        <v>2585</v>
      </c>
      <c r="P29" s="220">
        <v>228</v>
      </c>
      <c r="Q29" s="221">
        <v>95897</v>
      </c>
      <c r="R29" s="179" t="s">
        <v>84</v>
      </c>
    </row>
    <row r="30" spans="1:18" ht="25.5" customHeight="1">
      <c r="A30" s="180"/>
      <c r="B30" s="181"/>
      <c r="C30" s="182"/>
      <c r="D30" s="181"/>
      <c r="E30" s="182"/>
      <c r="F30" s="183"/>
      <c r="G30" s="182"/>
      <c r="H30" s="183"/>
      <c r="I30" s="182"/>
      <c r="J30" s="183"/>
      <c r="K30" s="182"/>
      <c r="L30" s="183"/>
      <c r="M30" s="182"/>
      <c r="N30" s="222"/>
      <c r="O30" s="223"/>
      <c r="P30" s="223"/>
      <c r="Q30" s="224"/>
      <c r="R30" s="184" t="s">
        <v>40</v>
      </c>
    </row>
    <row r="31" spans="1:18" ht="25.5" customHeight="1">
      <c r="A31" s="77" t="s">
        <v>85</v>
      </c>
      <c r="B31" s="113">
        <f>_xlfn.COMPOUNDVALUE(465)</f>
        <v>4684</v>
      </c>
      <c r="C31" s="114">
        <v>34151626</v>
      </c>
      <c r="D31" s="113">
        <f>_xlfn.COMPOUNDVALUE(466)</f>
        <v>3195</v>
      </c>
      <c r="E31" s="114">
        <v>2184161</v>
      </c>
      <c r="F31" s="113">
        <f>_xlfn.COMPOUNDVALUE(467)</f>
        <v>7879</v>
      </c>
      <c r="G31" s="114">
        <v>36335787</v>
      </c>
      <c r="H31" s="113">
        <f>_xlfn.COMPOUNDVALUE(468)</f>
        <v>679</v>
      </c>
      <c r="I31" s="115">
        <v>2419569</v>
      </c>
      <c r="J31" s="113">
        <v>356</v>
      </c>
      <c r="K31" s="115">
        <v>83507</v>
      </c>
      <c r="L31" s="113">
        <v>8690</v>
      </c>
      <c r="M31" s="115">
        <v>33999725</v>
      </c>
      <c r="N31" s="213">
        <v>8749</v>
      </c>
      <c r="O31" s="214">
        <v>389</v>
      </c>
      <c r="P31" s="214">
        <v>36</v>
      </c>
      <c r="Q31" s="215">
        <v>9174</v>
      </c>
      <c r="R31" s="78" t="s">
        <v>86</v>
      </c>
    </row>
    <row r="32" spans="1:18" ht="25.5" customHeight="1">
      <c r="A32" s="77" t="s">
        <v>87</v>
      </c>
      <c r="B32" s="113">
        <f>_xlfn.COMPOUNDVALUE(469)</f>
        <v>2567</v>
      </c>
      <c r="C32" s="114">
        <v>70256035</v>
      </c>
      <c r="D32" s="113">
        <f>_xlfn.COMPOUNDVALUE(470)</f>
        <v>1164</v>
      </c>
      <c r="E32" s="114">
        <v>834234</v>
      </c>
      <c r="F32" s="113">
        <f>_xlfn.COMPOUNDVALUE(471)</f>
        <v>3731</v>
      </c>
      <c r="G32" s="114">
        <v>71090268</v>
      </c>
      <c r="H32" s="113">
        <f>_xlfn.COMPOUNDVALUE(472)</f>
        <v>430</v>
      </c>
      <c r="I32" s="115">
        <v>7607473</v>
      </c>
      <c r="J32" s="113">
        <v>156</v>
      </c>
      <c r="K32" s="115">
        <v>64873</v>
      </c>
      <c r="L32" s="113">
        <v>4207</v>
      </c>
      <c r="M32" s="115">
        <v>63547669</v>
      </c>
      <c r="N32" s="228">
        <v>4324</v>
      </c>
      <c r="O32" s="229">
        <v>188</v>
      </c>
      <c r="P32" s="229">
        <v>34</v>
      </c>
      <c r="Q32" s="230">
        <v>4546</v>
      </c>
      <c r="R32" s="80" t="s">
        <v>88</v>
      </c>
    </row>
    <row r="33" spans="1:18" ht="25.5" customHeight="1">
      <c r="A33" s="77" t="s">
        <v>89</v>
      </c>
      <c r="B33" s="113">
        <f>_xlfn.COMPOUNDVALUE(473)</f>
        <v>5084</v>
      </c>
      <c r="C33" s="114">
        <v>30271834</v>
      </c>
      <c r="D33" s="113">
        <f>_xlfn.COMPOUNDVALUE(474)</f>
        <v>2965</v>
      </c>
      <c r="E33" s="114">
        <v>1756153</v>
      </c>
      <c r="F33" s="113">
        <f>_xlfn.COMPOUNDVALUE(475)</f>
        <v>8049</v>
      </c>
      <c r="G33" s="114">
        <v>32027987</v>
      </c>
      <c r="H33" s="113">
        <f>_xlfn.COMPOUNDVALUE(476)</f>
        <v>480</v>
      </c>
      <c r="I33" s="115">
        <v>858055</v>
      </c>
      <c r="J33" s="113">
        <v>385</v>
      </c>
      <c r="K33" s="115">
        <v>77637</v>
      </c>
      <c r="L33" s="113">
        <v>8661</v>
      </c>
      <c r="M33" s="115">
        <v>31247569</v>
      </c>
      <c r="N33" s="228">
        <v>8770</v>
      </c>
      <c r="O33" s="229">
        <v>262</v>
      </c>
      <c r="P33" s="229">
        <v>16</v>
      </c>
      <c r="Q33" s="230">
        <v>9048</v>
      </c>
      <c r="R33" s="80" t="s">
        <v>90</v>
      </c>
    </row>
    <row r="34" spans="1:18" ht="25.5" customHeight="1">
      <c r="A34" s="77" t="s">
        <v>91</v>
      </c>
      <c r="B34" s="113">
        <f>_xlfn.COMPOUNDVALUE(477)</f>
        <v>5813</v>
      </c>
      <c r="C34" s="114">
        <v>55659602</v>
      </c>
      <c r="D34" s="113">
        <f>_xlfn.COMPOUNDVALUE(478)</f>
        <v>3069</v>
      </c>
      <c r="E34" s="114">
        <v>1844783</v>
      </c>
      <c r="F34" s="113">
        <f>_xlfn.COMPOUNDVALUE(479)</f>
        <v>8882</v>
      </c>
      <c r="G34" s="114">
        <v>57504385</v>
      </c>
      <c r="H34" s="113">
        <f>_xlfn.COMPOUNDVALUE(480)</f>
        <v>542</v>
      </c>
      <c r="I34" s="115">
        <v>4030184</v>
      </c>
      <c r="J34" s="113">
        <v>427</v>
      </c>
      <c r="K34" s="115">
        <v>120523</v>
      </c>
      <c r="L34" s="113">
        <v>9548</v>
      </c>
      <c r="M34" s="115">
        <v>53594724</v>
      </c>
      <c r="N34" s="228">
        <v>9648</v>
      </c>
      <c r="O34" s="229">
        <v>222</v>
      </c>
      <c r="P34" s="229">
        <v>40</v>
      </c>
      <c r="Q34" s="230">
        <v>9910</v>
      </c>
      <c r="R34" s="80" t="s">
        <v>92</v>
      </c>
    </row>
    <row r="35" spans="1:18" ht="25.5" customHeight="1">
      <c r="A35" s="81" t="s">
        <v>93</v>
      </c>
      <c r="B35" s="113">
        <f>_xlfn.COMPOUNDVALUE(481)</f>
        <v>3588</v>
      </c>
      <c r="C35" s="114">
        <v>62844889</v>
      </c>
      <c r="D35" s="113">
        <f>_xlfn.COMPOUNDVALUE(482)</f>
        <v>1561</v>
      </c>
      <c r="E35" s="114">
        <v>1072247</v>
      </c>
      <c r="F35" s="113">
        <f>_xlfn.COMPOUNDVALUE(483)</f>
        <v>5149</v>
      </c>
      <c r="G35" s="114">
        <v>63917136</v>
      </c>
      <c r="H35" s="113">
        <f>_xlfn.COMPOUNDVALUE(484)</f>
        <v>544</v>
      </c>
      <c r="I35" s="115">
        <v>90850995</v>
      </c>
      <c r="J35" s="113">
        <v>335</v>
      </c>
      <c r="K35" s="115">
        <v>-890388</v>
      </c>
      <c r="L35" s="113">
        <v>5755</v>
      </c>
      <c r="M35" s="115">
        <v>-27824247</v>
      </c>
      <c r="N35" s="228">
        <v>5695</v>
      </c>
      <c r="O35" s="229">
        <v>218</v>
      </c>
      <c r="P35" s="229">
        <v>37</v>
      </c>
      <c r="Q35" s="230">
        <v>5950</v>
      </c>
      <c r="R35" s="82" t="s">
        <v>94</v>
      </c>
    </row>
    <row r="36" spans="1:18" ht="25.5" customHeight="1">
      <c r="A36" s="77" t="s">
        <v>95</v>
      </c>
      <c r="B36" s="113">
        <f>_xlfn.COMPOUNDVALUE(485)</f>
        <v>7186</v>
      </c>
      <c r="C36" s="114">
        <v>146297772</v>
      </c>
      <c r="D36" s="113">
        <f>_xlfn.COMPOUNDVALUE(486)</f>
        <v>2683</v>
      </c>
      <c r="E36" s="114">
        <v>2143522</v>
      </c>
      <c r="F36" s="113">
        <f>_xlfn.COMPOUNDVALUE(487)</f>
        <v>9869</v>
      </c>
      <c r="G36" s="114">
        <v>148441293</v>
      </c>
      <c r="H36" s="113">
        <f>_xlfn.COMPOUNDVALUE(488)</f>
        <v>1214</v>
      </c>
      <c r="I36" s="115">
        <v>26472455</v>
      </c>
      <c r="J36" s="113">
        <v>426</v>
      </c>
      <c r="K36" s="115">
        <v>327209</v>
      </c>
      <c r="L36" s="113">
        <v>11223</v>
      </c>
      <c r="M36" s="115">
        <v>122296047</v>
      </c>
      <c r="N36" s="228">
        <v>11273</v>
      </c>
      <c r="O36" s="229">
        <v>517</v>
      </c>
      <c r="P36" s="229">
        <v>130</v>
      </c>
      <c r="Q36" s="230">
        <v>11920</v>
      </c>
      <c r="R36" s="80" t="s">
        <v>96</v>
      </c>
    </row>
    <row r="37" spans="1:18" ht="25.5" customHeight="1">
      <c r="A37" s="77" t="s">
        <v>97</v>
      </c>
      <c r="B37" s="113">
        <f>_xlfn.COMPOUNDVALUE(489)</f>
        <v>7658</v>
      </c>
      <c r="C37" s="114">
        <v>61251889</v>
      </c>
      <c r="D37" s="113">
        <f>_xlfn.COMPOUNDVALUE(490)</f>
        <v>4883</v>
      </c>
      <c r="E37" s="114">
        <v>3151358</v>
      </c>
      <c r="F37" s="113">
        <f>_xlfn.COMPOUNDVALUE(491)</f>
        <v>12541</v>
      </c>
      <c r="G37" s="114">
        <v>64403247</v>
      </c>
      <c r="H37" s="113">
        <f>_xlfn.COMPOUNDVALUE(492)</f>
        <v>948</v>
      </c>
      <c r="I37" s="115">
        <v>22045092</v>
      </c>
      <c r="J37" s="113">
        <v>531</v>
      </c>
      <c r="K37" s="115">
        <v>86711</v>
      </c>
      <c r="L37" s="113">
        <v>13656</v>
      </c>
      <c r="M37" s="115">
        <v>42444865</v>
      </c>
      <c r="N37" s="228">
        <v>13681</v>
      </c>
      <c r="O37" s="229">
        <v>467</v>
      </c>
      <c r="P37" s="229">
        <v>47</v>
      </c>
      <c r="Q37" s="230">
        <v>14195</v>
      </c>
      <c r="R37" s="80" t="s">
        <v>98</v>
      </c>
    </row>
    <row r="38" spans="1:18" ht="25.5" customHeight="1">
      <c r="A38" s="77" t="s">
        <v>99</v>
      </c>
      <c r="B38" s="113">
        <f>_xlfn.COMPOUNDVALUE(493)</f>
        <v>7343</v>
      </c>
      <c r="C38" s="114">
        <v>77255595</v>
      </c>
      <c r="D38" s="113">
        <f>_xlfn.COMPOUNDVALUE(494)</f>
        <v>4210</v>
      </c>
      <c r="E38" s="114">
        <v>2560544</v>
      </c>
      <c r="F38" s="113">
        <f>_xlfn.COMPOUNDVALUE(495)</f>
        <v>11553</v>
      </c>
      <c r="G38" s="114">
        <v>79816138</v>
      </c>
      <c r="H38" s="113">
        <f>_xlfn.COMPOUNDVALUE(496)</f>
        <v>612</v>
      </c>
      <c r="I38" s="115">
        <v>2956867</v>
      </c>
      <c r="J38" s="113">
        <v>588</v>
      </c>
      <c r="K38" s="115">
        <v>184721</v>
      </c>
      <c r="L38" s="113">
        <v>12395</v>
      </c>
      <c r="M38" s="115">
        <v>77043992</v>
      </c>
      <c r="N38" s="228">
        <v>12396</v>
      </c>
      <c r="O38" s="229">
        <v>291</v>
      </c>
      <c r="P38" s="229">
        <v>43</v>
      </c>
      <c r="Q38" s="230">
        <v>12730</v>
      </c>
      <c r="R38" s="80" t="s">
        <v>100</v>
      </c>
    </row>
    <row r="39" spans="1:18" ht="25.5" customHeight="1">
      <c r="A39" s="77" t="s">
        <v>101</v>
      </c>
      <c r="B39" s="113">
        <f>_xlfn.COMPOUNDVALUE(497)</f>
        <v>6086</v>
      </c>
      <c r="C39" s="114">
        <v>50798486</v>
      </c>
      <c r="D39" s="113">
        <f>_xlfn.COMPOUNDVALUE(498)</f>
        <v>3168</v>
      </c>
      <c r="E39" s="114">
        <v>1779117</v>
      </c>
      <c r="F39" s="113">
        <f>_xlfn.COMPOUNDVALUE(499)</f>
        <v>9254</v>
      </c>
      <c r="G39" s="114">
        <v>52577603</v>
      </c>
      <c r="H39" s="113">
        <f>_xlfn.COMPOUNDVALUE(500)</f>
        <v>964</v>
      </c>
      <c r="I39" s="115">
        <v>5434909</v>
      </c>
      <c r="J39" s="113">
        <v>458</v>
      </c>
      <c r="K39" s="115">
        <v>127289</v>
      </c>
      <c r="L39" s="113">
        <v>10404</v>
      </c>
      <c r="M39" s="115">
        <v>47269984</v>
      </c>
      <c r="N39" s="228">
        <v>10277</v>
      </c>
      <c r="O39" s="229">
        <v>404</v>
      </c>
      <c r="P39" s="229">
        <v>29</v>
      </c>
      <c r="Q39" s="230">
        <v>10710</v>
      </c>
      <c r="R39" s="80" t="s">
        <v>102</v>
      </c>
    </row>
    <row r="40" spans="1:18" ht="25.5" customHeight="1">
      <c r="A40" s="77" t="s">
        <v>103</v>
      </c>
      <c r="B40" s="113">
        <f>_xlfn.COMPOUNDVALUE(501)</f>
        <v>9386</v>
      </c>
      <c r="C40" s="114">
        <v>62896330</v>
      </c>
      <c r="D40" s="113">
        <f>_xlfn.COMPOUNDVALUE(502)</f>
        <v>9440</v>
      </c>
      <c r="E40" s="114">
        <v>4630777</v>
      </c>
      <c r="F40" s="113">
        <f>_xlfn.COMPOUNDVALUE(503)</f>
        <v>18826</v>
      </c>
      <c r="G40" s="114">
        <v>67527106</v>
      </c>
      <c r="H40" s="113">
        <f>_xlfn.COMPOUNDVALUE(504)</f>
        <v>963</v>
      </c>
      <c r="I40" s="115">
        <v>6454376</v>
      </c>
      <c r="J40" s="113">
        <v>747</v>
      </c>
      <c r="K40" s="115">
        <v>35008</v>
      </c>
      <c r="L40" s="113">
        <v>20017</v>
      </c>
      <c r="M40" s="115">
        <v>61107739</v>
      </c>
      <c r="N40" s="228">
        <v>19073</v>
      </c>
      <c r="O40" s="229">
        <v>461</v>
      </c>
      <c r="P40" s="229">
        <v>33</v>
      </c>
      <c r="Q40" s="230">
        <v>19567</v>
      </c>
      <c r="R40" s="80" t="s">
        <v>104</v>
      </c>
    </row>
    <row r="41" spans="1:18" ht="25.5" customHeight="1">
      <c r="A41" s="77" t="s">
        <v>105</v>
      </c>
      <c r="B41" s="113">
        <f>_xlfn.COMPOUNDVALUE(505)</f>
        <v>5063</v>
      </c>
      <c r="C41" s="114">
        <v>32689999</v>
      </c>
      <c r="D41" s="113">
        <f>_xlfn.COMPOUNDVALUE(506)</f>
        <v>3503</v>
      </c>
      <c r="E41" s="114">
        <v>2019982</v>
      </c>
      <c r="F41" s="113">
        <f>_xlfn.COMPOUNDVALUE(507)</f>
        <v>8566</v>
      </c>
      <c r="G41" s="114">
        <v>34709982</v>
      </c>
      <c r="H41" s="113">
        <f>_xlfn.COMPOUNDVALUE(508)</f>
        <v>445</v>
      </c>
      <c r="I41" s="115">
        <v>931939</v>
      </c>
      <c r="J41" s="113">
        <v>381</v>
      </c>
      <c r="K41" s="115">
        <v>114726</v>
      </c>
      <c r="L41" s="113">
        <v>9153</v>
      </c>
      <c r="M41" s="115">
        <v>33892768</v>
      </c>
      <c r="N41" s="228">
        <v>8909</v>
      </c>
      <c r="O41" s="229">
        <v>193</v>
      </c>
      <c r="P41" s="229">
        <v>21</v>
      </c>
      <c r="Q41" s="230">
        <v>9123</v>
      </c>
      <c r="R41" s="80" t="s">
        <v>106</v>
      </c>
    </row>
    <row r="42" spans="1:18" ht="25.5" customHeight="1">
      <c r="A42" s="77" t="s">
        <v>107</v>
      </c>
      <c r="B42" s="113">
        <f>_xlfn.COMPOUNDVALUE(509)</f>
        <v>6039</v>
      </c>
      <c r="C42" s="114">
        <v>41277801</v>
      </c>
      <c r="D42" s="113">
        <f>_xlfn.COMPOUNDVALUE(510)</f>
        <v>4303</v>
      </c>
      <c r="E42" s="114">
        <v>2445317</v>
      </c>
      <c r="F42" s="113">
        <f>_xlfn.COMPOUNDVALUE(511)</f>
        <v>10342</v>
      </c>
      <c r="G42" s="114">
        <v>43723118</v>
      </c>
      <c r="H42" s="113">
        <f>_xlfn.COMPOUNDVALUE(512)</f>
        <v>603</v>
      </c>
      <c r="I42" s="115">
        <v>1545487</v>
      </c>
      <c r="J42" s="113">
        <v>414</v>
      </c>
      <c r="K42" s="115">
        <v>63070</v>
      </c>
      <c r="L42" s="113">
        <v>11076</v>
      </c>
      <c r="M42" s="115">
        <v>42240702</v>
      </c>
      <c r="N42" s="228">
        <v>10820</v>
      </c>
      <c r="O42" s="229">
        <v>291</v>
      </c>
      <c r="P42" s="229">
        <v>35</v>
      </c>
      <c r="Q42" s="230">
        <v>11146</v>
      </c>
      <c r="R42" s="80" t="s">
        <v>108</v>
      </c>
    </row>
    <row r="43" spans="1:18" ht="25.5" customHeight="1">
      <c r="A43" s="77" t="s">
        <v>109</v>
      </c>
      <c r="B43" s="113">
        <f>_xlfn.COMPOUNDVALUE(513)</f>
        <v>2563</v>
      </c>
      <c r="C43" s="114">
        <v>15879027</v>
      </c>
      <c r="D43" s="113">
        <f>_xlfn.COMPOUNDVALUE(514)</f>
        <v>1806</v>
      </c>
      <c r="E43" s="114">
        <v>995311</v>
      </c>
      <c r="F43" s="113">
        <f>_xlfn.COMPOUNDVALUE(515)</f>
        <v>4369</v>
      </c>
      <c r="G43" s="114">
        <v>16874339</v>
      </c>
      <c r="H43" s="113">
        <f>_xlfn.COMPOUNDVALUE(516)</f>
        <v>222</v>
      </c>
      <c r="I43" s="115">
        <v>2499316</v>
      </c>
      <c r="J43" s="113">
        <v>154</v>
      </c>
      <c r="K43" s="115">
        <v>45822</v>
      </c>
      <c r="L43" s="113">
        <v>4654</v>
      </c>
      <c r="M43" s="115">
        <v>14420845</v>
      </c>
      <c r="N43" s="228">
        <v>4615</v>
      </c>
      <c r="O43" s="229">
        <v>94</v>
      </c>
      <c r="P43" s="229">
        <v>9</v>
      </c>
      <c r="Q43" s="230">
        <v>4718</v>
      </c>
      <c r="R43" s="80" t="s">
        <v>110</v>
      </c>
    </row>
    <row r="44" spans="1:18" ht="24.75" customHeight="1">
      <c r="A44" s="79" t="s">
        <v>111</v>
      </c>
      <c r="B44" s="116">
        <f>_xlfn.COMPOUNDVALUE(517)</f>
        <v>7169</v>
      </c>
      <c r="C44" s="117">
        <v>54092421</v>
      </c>
      <c r="D44" s="116">
        <f>_xlfn.COMPOUNDVALUE(518)</f>
        <v>4908</v>
      </c>
      <c r="E44" s="117">
        <v>2801852</v>
      </c>
      <c r="F44" s="116">
        <f>_xlfn.COMPOUNDVALUE(519)</f>
        <v>12077</v>
      </c>
      <c r="G44" s="117">
        <v>56894274</v>
      </c>
      <c r="H44" s="116">
        <f>_xlfn.COMPOUNDVALUE(520)</f>
        <v>700</v>
      </c>
      <c r="I44" s="118">
        <v>4755673</v>
      </c>
      <c r="J44" s="116">
        <v>502</v>
      </c>
      <c r="K44" s="118">
        <v>82710</v>
      </c>
      <c r="L44" s="116">
        <v>12980</v>
      </c>
      <c r="M44" s="118">
        <v>52221311</v>
      </c>
      <c r="N44" s="228">
        <v>12522</v>
      </c>
      <c r="O44" s="229">
        <v>406</v>
      </c>
      <c r="P44" s="229">
        <v>35</v>
      </c>
      <c r="Q44" s="230">
        <v>12963</v>
      </c>
      <c r="R44" s="80" t="s">
        <v>112</v>
      </c>
    </row>
    <row r="45" spans="1:18" ht="25.5" customHeight="1">
      <c r="A45" s="79" t="s">
        <v>113</v>
      </c>
      <c r="B45" s="116">
        <f>_xlfn.COMPOUNDVALUE(521)</f>
        <v>4703</v>
      </c>
      <c r="C45" s="117">
        <v>30200051</v>
      </c>
      <c r="D45" s="116">
        <f>_xlfn.COMPOUNDVALUE(522)</f>
        <v>3083</v>
      </c>
      <c r="E45" s="117">
        <v>1684891</v>
      </c>
      <c r="F45" s="116">
        <f>_xlfn.COMPOUNDVALUE(523)</f>
        <v>7786</v>
      </c>
      <c r="G45" s="117">
        <v>31884942</v>
      </c>
      <c r="H45" s="116">
        <f>_xlfn.COMPOUNDVALUE(524)</f>
        <v>655</v>
      </c>
      <c r="I45" s="118">
        <v>4696496</v>
      </c>
      <c r="J45" s="116">
        <v>409</v>
      </c>
      <c r="K45" s="118">
        <v>-58598</v>
      </c>
      <c r="L45" s="116">
        <v>8600</v>
      </c>
      <c r="M45" s="118">
        <v>27129848</v>
      </c>
      <c r="N45" s="228">
        <v>8305</v>
      </c>
      <c r="O45" s="229">
        <v>281</v>
      </c>
      <c r="P45" s="229">
        <v>25</v>
      </c>
      <c r="Q45" s="230">
        <v>8611</v>
      </c>
      <c r="R45" s="80" t="s">
        <v>114</v>
      </c>
    </row>
    <row r="46" spans="1:18" ht="25.5" customHeight="1">
      <c r="A46" s="79" t="s">
        <v>115</v>
      </c>
      <c r="B46" s="116">
        <f>_xlfn.COMPOUNDVALUE(525)</f>
        <v>6426</v>
      </c>
      <c r="C46" s="117">
        <v>77736014</v>
      </c>
      <c r="D46" s="116">
        <f>_xlfn.COMPOUNDVALUE(526)</f>
        <v>4114</v>
      </c>
      <c r="E46" s="117">
        <v>2372154</v>
      </c>
      <c r="F46" s="116">
        <f>_xlfn.COMPOUNDVALUE(527)</f>
        <v>10540</v>
      </c>
      <c r="G46" s="117">
        <v>80108168</v>
      </c>
      <c r="H46" s="116">
        <f>_xlfn.COMPOUNDVALUE(528)</f>
        <v>556</v>
      </c>
      <c r="I46" s="118">
        <v>90717339</v>
      </c>
      <c r="J46" s="116">
        <v>493</v>
      </c>
      <c r="K46" s="118">
        <v>-24310</v>
      </c>
      <c r="L46" s="116">
        <v>11294</v>
      </c>
      <c r="M46" s="118">
        <v>-10633481</v>
      </c>
      <c r="N46" s="228">
        <v>10741</v>
      </c>
      <c r="O46" s="229">
        <v>301</v>
      </c>
      <c r="P46" s="229">
        <v>41</v>
      </c>
      <c r="Q46" s="230">
        <v>11083</v>
      </c>
      <c r="R46" s="80" t="s">
        <v>116</v>
      </c>
    </row>
    <row r="47" spans="1:18" ht="25.5" customHeight="1">
      <c r="A47" s="79" t="s">
        <v>117</v>
      </c>
      <c r="B47" s="116">
        <f>_xlfn.COMPOUNDVALUE(529)</f>
        <v>5015</v>
      </c>
      <c r="C47" s="117">
        <v>51423186</v>
      </c>
      <c r="D47" s="116">
        <f>_xlfn.COMPOUNDVALUE(530)</f>
        <v>3176</v>
      </c>
      <c r="E47" s="117">
        <v>1831433</v>
      </c>
      <c r="F47" s="116">
        <f>_xlfn.COMPOUNDVALUE(531)</f>
        <v>8191</v>
      </c>
      <c r="G47" s="117">
        <v>53254619</v>
      </c>
      <c r="H47" s="116">
        <f>_xlfn.COMPOUNDVALUE(532)</f>
        <v>442</v>
      </c>
      <c r="I47" s="118">
        <v>368855268</v>
      </c>
      <c r="J47" s="116">
        <v>345</v>
      </c>
      <c r="K47" s="118">
        <v>42342</v>
      </c>
      <c r="L47" s="116">
        <v>8763</v>
      </c>
      <c r="M47" s="118">
        <v>-315558307</v>
      </c>
      <c r="N47" s="228">
        <v>8421</v>
      </c>
      <c r="O47" s="229">
        <v>239</v>
      </c>
      <c r="P47" s="229">
        <v>27</v>
      </c>
      <c r="Q47" s="230">
        <v>8687</v>
      </c>
      <c r="R47" s="80" t="s">
        <v>118</v>
      </c>
    </row>
    <row r="48" spans="1:18" ht="25.5" customHeight="1">
      <c r="A48" s="79" t="s">
        <v>119</v>
      </c>
      <c r="B48" s="116">
        <f>_xlfn.COMPOUNDVALUE(533)</f>
        <v>2337</v>
      </c>
      <c r="C48" s="117">
        <v>15503789</v>
      </c>
      <c r="D48" s="116">
        <f>_xlfn.COMPOUNDVALUE(534)</f>
        <v>1879</v>
      </c>
      <c r="E48" s="117">
        <v>1006162</v>
      </c>
      <c r="F48" s="116">
        <f>_xlfn.COMPOUNDVALUE(535)</f>
        <v>4216</v>
      </c>
      <c r="G48" s="117">
        <v>16509951</v>
      </c>
      <c r="H48" s="116">
        <f>_xlfn.COMPOUNDVALUE(536)</f>
        <v>213</v>
      </c>
      <c r="I48" s="118">
        <v>881498</v>
      </c>
      <c r="J48" s="116">
        <v>181</v>
      </c>
      <c r="K48" s="118">
        <v>53811</v>
      </c>
      <c r="L48" s="116">
        <v>4522</v>
      </c>
      <c r="M48" s="118">
        <v>15682265</v>
      </c>
      <c r="N48" s="228">
        <v>4350</v>
      </c>
      <c r="O48" s="229">
        <v>91</v>
      </c>
      <c r="P48" s="229">
        <v>20</v>
      </c>
      <c r="Q48" s="230">
        <v>4461</v>
      </c>
      <c r="R48" s="80" t="s">
        <v>120</v>
      </c>
    </row>
    <row r="49" spans="1:18" ht="25.5" customHeight="1">
      <c r="A49" s="79" t="s">
        <v>121</v>
      </c>
      <c r="B49" s="116">
        <f>_xlfn.COMPOUNDVALUE(537)</f>
        <v>8790</v>
      </c>
      <c r="C49" s="117">
        <v>64246050</v>
      </c>
      <c r="D49" s="116">
        <f>_xlfn.COMPOUNDVALUE(538)</f>
        <v>5511</v>
      </c>
      <c r="E49" s="117">
        <v>3301902</v>
      </c>
      <c r="F49" s="116">
        <f>_xlfn.COMPOUNDVALUE(539)</f>
        <v>14301</v>
      </c>
      <c r="G49" s="117">
        <v>67547951</v>
      </c>
      <c r="H49" s="116">
        <f>_xlfn.COMPOUNDVALUE(540)</f>
        <v>789</v>
      </c>
      <c r="I49" s="118">
        <v>16759823</v>
      </c>
      <c r="J49" s="116">
        <v>671</v>
      </c>
      <c r="K49" s="118">
        <v>85738</v>
      </c>
      <c r="L49" s="116">
        <v>15331</v>
      </c>
      <c r="M49" s="118">
        <v>50873866</v>
      </c>
      <c r="N49" s="228">
        <v>15018</v>
      </c>
      <c r="O49" s="229">
        <v>404</v>
      </c>
      <c r="P49" s="229">
        <v>40</v>
      </c>
      <c r="Q49" s="230">
        <v>15462</v>
      </c>
      <c r="R49" s="80" t="s">
        <v>122</v>
      </c>
    </row>
    <row r="50" spans="1:18" ht="25.5" customHeight="1">
      <c r="A50" s="170" t="s">
        <v>123</v>
      </c>
      <c r="B50" s="171">
        <f>_xlfn.COMPOUNDVALUE(541)</f>
        <v>636</v>
      </c>
      <c r="C50" s="172">
        <v>3072988</v>
      </c>
      <c r="D50" s="171">
        <f>_xlfn.COMPOUNDVALUE(542)</f>
        <v>568</v>
      </c>
      <c r="E50" s="172">
        <v>270276</v>
      </c>
      <c r="F50" s="171">
        <f>_xlfn.COMPOUNDVALUE(543)</f>
        <v>1204</v>
      </c>
      <c r="G50" s="172">
        <v>3343264</v>
      </c>
      <c r="H50" s="171">
        <f>_xlfn.COMPOUNDVALUE(544)</f>
        <v>54</v>
      </c>
      <c r="I50" s="173">
        <v>45351</v>
      </c>
      <c r="J50" s="171">
        <v>63</v>
      </c>
      <c r="K50" s="173">
        <v>4659</v>
      </c>
      <c r="L50" s="171">
        <v>1273</v>
      </c>
      <c r="M50" s="173">
        <v>3302572</v>
      </c>
      <c r="N50" s="225">
        <v>1222</v>
      </c>
      <c r="O50" s="226">
        <v>31</v>
      </c>
      <c r="P50" s="226">
        <v>2</v>
      </c>
      <c r="Q50" s="227">
        <v>1255</v>
      </c>
      <c r="R50" s="174" t="s">
        <v>124</v>
      </c>
    </row>
    <row r="51" spans="1:18" ht="25.5" customHeight="1">
      <c r="A51" s="175" t="s">
        <v>125</v>
      </c>
      <c r="B51" s="176">
        <v>108136</v>
      </c>
      <c r="C51" s="177">
        <v>1037805383</v>
      </c>
      <c r="D51" s="176">
        <v>69189</v>
      </c>
      <c r="E51" s="177">
        <v>40686177</v>
      </c>
      <c r="F51" s="176">
        <v>177325</v>
      </c>
      <c r="G51" s="177">
        <v>1078491559</v>
      </c>
      <c r="H51" s="176">
        <v>12055</v>
      </c>
      <c r="I51" s="178">
        <v>660818164</v>
      </c>
      <c r="J51" s="176">
        <v>8022</v>
      </c>
      <c r="K51" s="178">
        <v>627062</v>
      </c>
      <c r="L51" s="176">
        <v>192202</v>
      </c>
      <c r="M51" s="178">
        <v>418300457</v>
      </c>
      <c r="N51" s="219">
        <v>188809</v>
      </c>
      <c r="O51" s="220">
        <v>5750</v>
      </c>
      <c r="P51" s="220">
        <v>700</v>
      </c>
      <c r="Q51" s="221">
        <v>195259</v>
      </c>
      <c r="R51" s="179" t="s">
        <v>126</v>
      </c>
    </row>
    <row r="52" spans="1:18" ht="25.5" customHeight="1">
      <c r="A52" s="180"/>
      <c r="B52" s="181"/>
      <c r="C52" s="182"/>
      <c r="D52" s="181"/>
      <c r="E52" s="182"/>
      <c r="F52" s="183"/>
      <c r="G52" s="182"/>
      <c r="H52" s="183"/>
      <c r="I52" s="182"/>
      <c r="J52" s="183"/>
      <c r="K52" s="182"/>
      <c r="L52" s="183"/>
      <c r="M52" s="182"/>
      <c r="N52" s="222"/>
      <c r="O52" s="223"/>
      <c r="P52" s="223"/>
      <c r="Q52" s="224"/>
      <c r="R52" s="184" t="s">
        <v>40</v>
      </c>
    </row>
    <row r="53" spans="1:18" ht="25.5" customHeight="1">
      <c r="A53" s="77" t="s">
        <v>127</v>
      </c>
      <c r="B53" s="113">
        <f>_xlfn.COMPOUNDVALUE(545)</f>
        <v>3184</v>
      </c>
      <c r="C53" s="114">
        <v>22024541</v>
      </c>
      <c r="D53" s="113">
        <f>_xlfn.COMPOUNDVALUE(546)</f>
        <v>2172</v>
      </c>
      <c r="E53" s="114">
        <v>1264333</v>
      </c>
      <c r="F53" s="113">
        <f>_xlfn.COMPOUNDVALUE(547)</f>
        <v>5356</v>
      </c>
      <c r="G53" s="114">
        <v>23288874</v>
      </c>
      <c r="H53" s="113">
        <f>_xlfn.COMPOUNDVALUE(548)</f>
        <v>306</v>
      </c>
      <c r="I53" s="115">
        <v>2625784</v>
      </c>
      <c r="J53" s="113">
        <v>277</v>
      </c>
      <c r="K53" s="115">
        <v>-22751</v>
      </c>
      <c r="L53" s="113">
        <v>5740</v>
      </c>
      <c r="M53" s="115">
        <v>20640339</v>
      </c>
      <c r="N53" s="213">
        <v>5921</v>
      </c>
      <c r="O53" s="214">
        <v>170</v>
      </c>
      <c r="P53" s="214">
        <v>15</v>
      </c>
      <c r="Q53" s="215">
        <v>6106</v>
      </c>
      <c r="R53" s="78" t="s">
        <v>128</v>
      </c>
    </row>
    <row r="54" spans="1:18" ht="25.5" customHeight="1">
      <c r="A54" s="79" t="s">
        <v>129</v>
      </c>
      <c r="B54" s="116">
        <f>_xlfn.COMPOUNDVALUE(549)</f>
        <v>5343</v>
      </c>
      <c r="C54" s="117">
        <v>48294616</v>
      </c>
      <c r="D54" s="116">
        <f>_xlfn.COMPOUNDVALUE(550)</f>
        <v>3341</v>
      </c>
      <c r="E54" s="117">
        <v>1992293</v>
      </c>
      <c r="F54" s="116">
        <f>_xlfn.COMPOUNDVALUE(551)</f>
        <v>8684</v>
      </c>
      <c r="G54" s="117">
        <v>50286908</v>
      </c>
      <c r="H54" s="116">
        <f>_xlfn.COMPOUNDVALUE(552)</f>
        <v>474</v>
      </c>
      <c r="I54" s="118">
        <v>14646732</v>
      </c>
      <c r="J54" s="116">
        <v>459</v>
      </c>
      <c r="K54" s="118">
        <v>65063</v>
      </c>
      <c r="L54" s="116">
        <v>9317</v>
      </c>
      <c r="M54" s="118">
        <v>35705238</v>
      </c>
      <c r="N54" s="228">
        <v>9124</v>
      </c>
      <c r="O54" s="229">
        <v>250</v>
      </c>
      <c r="P54" s="229">
        <v>23</v>
      </c>
      <c r="Q54" s="230">
        <v>9397</v>
      </c>
      <c r="R54" s="80" t="s">
        <v>130</v>
      </c>
    </row>
    <row r="55" spans="1:18" ht="25.5" customHeight="1">
      <c r="A55" s="79" t="s">
        <v>131</v>
      </c>
      <c r="B55" s="116">
        <f>_xlfn.COMPOUNDVALUE(553)</f>
        <v>3357</v>
      </c>
      <c r="C55" s="117">
        <v>13589753</v>
      </c>
      <c r="D55" s="116">
        <f>_xlfn.COMPOUNDVALUE(554)</f>
        <v>2369</v>
      </c>
      <c r="E55" s="117">
        <v>1141312</v>
      </c>
      <c r="F55" s="116">
        <f>_xlfn.COMPOUNDVALUE(555)</f>
        <v>5726</v>
      </c>
      <c r="G55" s="117">
        <v>14731065</v>
      </c>
      <c r="H55" s="116">
        <f>_xlfn.COMPOUNDVALUE(556)</f>
        <v>430</v>
      </c>
      <c r="I55" s="118">
        <v>2036417</v>
      </c>
      <c r="J55" s="116">
        <v>240</v>
      </c>
      <c r="K55" s="118">
        <v>46421</v>
      </c>
      <c r="L55" s="116">
        <v>6252</v>
      </c>
      <c r="M55" s="118">
        <v>12741068</v>
      </c>
      <c r="N55" s="228">
        <v>5881</v>
      </c>
      <c r="O55" s="229">
        <v>171</v>
      </c>
      <c r="P55" s="229">
        <v>17</v>
      </c>
      <c r="Q55" s="230">
        <v>6069</v>
      </c>
      <c r="R55" s="80" t="s">
        <v>132</v>
      </c>
    </row>
    <row r="56" spans="1:18" ht="25.5" customHeight="1">
      <c r="A56" s="79" t="s">
        <v>133</v>
      </c>
      <c r="B56" s="116">
        <f>_xlfn.COMPOUNDVALUE(557)</f>
        <v>2682</v>
      </c>
      <c r="C56" s="117">
        <v>17942763</v>
      </c>
      <c r="D56" s="116">
        <f>_xlfn.COMPOUNDVALUE(558)</f>
        <v>1724</v>
      </c>
      <c r="E56" s="117">
        <v>933154</v>
      </c>
      <c r="F56" s="116">
        <f>_xlfn.COMPOUNDVALUE(559)</f>
        <v>4406</v>
      </c>
      <c r="G56" s="117">
        <v>18875917</v>
      </c>
      <c r="H56" s="116">
        <f>_xlfn.COMPOUNDVALUE(560)</f>
        <v>324</v>
      </c>
      <c r="I56" s="118">
        <v>6095368</v>
      </c>
      <c r="J56" s="116">
        <v>203</v>
      </c>
      <c r="K56" s="118">
        <v>70710</v>
      </c>
      <c r="L56" s="116">
        <v>4796</v>
      </c>
      <c r="M56" s="118">
        <v>12851258</v>
      </c>
      <c r="N56" s="228">
        <v>4665</v>
      </c>
      <c r="O56" s="229">
        <v>133</v>
      </c>
      <c r="P56" s="229">
        <v>15</v>
      </c>
      <c r="Q56" s="230">
        <v>4813</v>
      </c>
      <c r="R56" s="80" t="s">
        <v>134</v>
      </c>
    </row>
    <row r="57" spans="1:18" ht="25.5" customHeight="1">
      <c r="A57" s="79" t="s">
        <v>135</v>
      </c>
      <c r="B57" s="116">
        <f>_xlfn.COMPOUNDVALUE(561)</f>
        <v>2601</v>
      </c>
      <c r="C57" s="117">
        <v>17235935</v>
      </c>
      <c r="D57" s="116">
        <f>_xlfn.COMPOUNDVALUE(562)</f>
        <v>1807</v>
      </c>
      <c r="E57" s="117">
        <v>1002106</v>
      </c>
      <c r="F57" s="116">
        <f>_xlfn.COMPOUNDVALUE(563)</f>
        <v>4408</v>
      </c>
      <c r="G57" s="117">
        <v>18238041</v>
      </c>
      <c r="H57" s="116">
        <f>_xlfn.COMPOUNDVALUE(564)</f>
        <v>291</v>
      </c>
      <c r="I57" s="118">
        <v>510610</v>
      </c>
      <c r="J57" s="116">
        <v>197</v>
      </c>
      <c r="K57" s="118">
        <v>26714</v>
      </c>
      <c r="L57" s="116">
        <v>4760</v>
      </c>
      <c r="M57" s="118">
        <v>17754145</v>
      </c>
      <c r="N57" s="228">
        <v>4605</v>
      </c>
      <c r="O57" s="229">
        <v>136</v>
      </c>
      <c r="P57" s="229">
        <v>12</v>
      </c>
      <c r="Q57" s="230">
        <v>4753</v>
      </c>
      <c r="R57" s="80" t="s">
        <v>136</v>
      </c>
    </row>
    <row r="58" spans="1:18" ht="25.5" customHeight="1">
      <c r="A58" s="79" t="s">
        <v>137</v>
      </c>
      <c r="B58" s="116">
        <f>_xlfn.COMPOUNDVALUE(565)</f>
        <v>1794</v>
      </c>
      <c r="C58" s="117">
        <v>10051411</v>
      </c>
      <c r="D58" s="116">
        <f>_xlfn.COMPOUNDVALUE(566)</f>
        <v>1067</v>
      </c>
      <c r="E58" s="117">
        <v>579380</v>
      </c>
      <c r="F58" s="116">
        <f>_xlfn.COMPOUNDVALUE(567)</f>
        <v>2861</v>
      </c>
      <c r="G58" s="117">
        <v>10630791</v>
      </c>
      <c r="H58" s="116">
        <f>_xlfn.COMPOUNDVALUE(568)</f>
        <v>189</v>
      </c>
      <c r="I58" s="118">
        <v>962359</v>
      </c>
      <c r="J58" s="116">
        <v>125</v>
      </c>
      <c r="K58" s="118">
        <v>51882</v>
      </c>
      <c r="L58" s="116">
        <v>3112</v>
      </c>
      <c r="M58" s="118">
        <v>9720313</v>
      </c>
      <c r="N58" s="228">
        <v>3152</v>
      </c>
      <c r="O58" s="229">
        <v>106</v>
      </c>
      <c r="P58" s="229">
        <v>8</v>
      </c>
      <c r="Q58" s="230">
        <v>3266</v>
      </c>
      <c r="R58" s="80" t="s">
        <v>138</v>
      </c>
    </row>
    <row r="59" spans="1:18" ht="25.5" customHeight="1">
      <c r="A59" s="79" t="s">
        <v>139</v>
      </c>
      <c r="B59" s="116">
        <f>_xlfn.COMPOUNDVALUE(569)</f>
        <v>2854</v>
      </c>
      <c r="C59" s="117">
        <v>16675713</v>
      </c>
      <c r="D59" s="116">
        <f>_xlfn.COMPOUNDVALUE(570)</f>
        <v>1976</v>
      </c>
      <c r="E59" s="117">
        <v>1114431</v>
      </c>
      <c r="F59" s="116">
        <f>_xlfn.COMPOUNDVALUE(571)</f>
        <v>4830</v>
      </c>
      <c r="G59" s="117">
        <v>17790144</v>
      </c>
      <c r="H59" s="116">
        <f>_xlfn.COMPOUNDVALUE(572)</f>
        <v>343</v>
      </c>
      <c r="I59" s="118">
        <v>1294459</v>
      </c>
      <c r="J59" s="116">
        <v>206</v>
      </c>
      <c r="K59" s="118">
        <v>30822</v>
      </c>
      <c r="L59" s="116">
        <v>5246</v>
      </c>
      <c r="M59" s="118">
        <v>16526508</v>
      </c>
      <c r="N59" s="228">
        <v>5136</v>
      </c>
      <c r="O59" s="229">
        <v>168</v>
      </c>
      <c r="P59" s="229">
        <v>22</v>
      </c>
      <c r="Q59" s="230">
        <v>5326</v>
      </c>
      <c r="R59" s="80" t="s">
        <v>140</v>
      </c>
    </row>
    <row r="60" spans="1:18" ht="25.5" customHeight="1">
      <c r="A60" s="170" t="s">
        <v>141</v>
      </c>
      <c r="B60" s="171">
        <f>_xlfn.COMPOUNDVALUE(573)</f>
        <v>942</v>
      </c>
      <c r="C60" s="172">
        <v>3473835</v>
      </c>
      <c r="D60" s="171">
        <f>_xlfn.COMPOUNDVALUE(574)</f>
        <v>754</v>
      </c>
      <c r="E60" s="172">
        <v>360874</v>
      </c>
      <c r="F60" s="171">
        <f>_xlfn.COMPOUNDVALUE(575)</f>
        <v>1696</v>
      </c>
      <c r="G60" s="172">
        <v>3834709</v>
      </c>
      <c r="H60" s="171">
        <f>_xlfn.COMPOUNDVALUE(576)</f>
        <v>96</v>
      </c>
      <c r="I60" s="173">
        <v>321841</v>
      </c>
      <c r="J60" s="171">
        <v>96</v>
      </c>
      <c r="K60" s="173">
        <v>13667</v>
      </c>
      <c r="L60" s="171">
        <v>1812</v>
      </c>
      <c r="M60" s="173">
        <v>3526535</v>
      </c>
      <c r="N60" s="225">
        <v>1765</v>
      </c>
      <c r="O60" s="226">
        <v>30</v>
      </c>
      <c r="P60" s="226">
        <v>1</v>
      </c>
      <c r="Q60" s="227">
        <v>1796</v>
      </c>
      <c r="R60" s="174" t="s">
        <v>142</v>
      </c>
    </row>
    <row r="61" spans="1:18" ht="25.5" customHeight="1">
      <c r="A61" s="175" t="s">
        <v>143</v>
      </c>
      <c r="B61" s="176">
        <v>22757</v>
      </c>
      <c r="C61" s="177">
        <v>149288565</v>
      </c>
      <c r="D61" s="176">
        <v>15210</v>
      </c>
      <c r="E61" s="177">
        <v>8387883</v>
      </c>
      <c r="F61" s="176">
        <v>37967</v>
      </c>
      <c r="G61" s="177">
        <v>157676448</v>
      </c>
      <c r="H61" s="176">
        <v>2453</v>
      </c>
      <c r="I61" s="178">
        <v>28493571</v>
      </c>
      <c r="J61" s="176">
        <v>1803</v>
      </c>
      <c r="K61" s="178">
        <v>282526</v>
      </c>
      <c r="L61" s="176">
        <v>41035</v>
      </c>
      <c r="M61" s="178">
        <v>129465403</v>
      </c>
      <c r="N61" s="219">
        <v>40249</v>
      </c>
      <c r="O61" s="220">
        <v>1164</v>
      </c>
      <c r="P61" s="220">
        <v>113</v>
      </c>
      <c r="Q61" s="221">
        <v>41526</v>
      </c>
      <c r="R61" s="179" t="s">
        <v>144</v>
      </c>
    </row>
    <row r="62" spans="1:18" ht="25.5" customHeight="1" thickBot="1">
      <c r="A62" s="83"/>
      <c r="B62" s="185"/>
      <c r="C62" s="186"/>
      <c r="D62" s="185"/>
      <c r="E62" s="186"/>
      <c r="F62" s="187"/>
      <c r="G62" s="186"/>
      <c r="H62" s="187"/>
      <c r="I62" s="186"/>
      <c r="J62" s="187"/>
      <c r="K62" s="186"/>
      <c r="L62" s="187"/>
      <c r="M62" s="186"/>
      <c r="N62" s="231"/>
      <c r="O62" s="232"/>
      <c r="P62" s="232"/>
      <c r="Q62" s="233"/>
      <c r="R62" s="188" t="s">
        <v>40</v>
      </c>
    </row>
    <row r="63" spans="1:18" ht="25.5" customHeight="1" thickBot="1" thickTop="1">
      <c r="A63" s="84" t="s">
        <v>39</v>
      </c>
      <c r="B63" s="119">
        <v>208439</v>
      </c>
      <c r="C63" s="120">
        <v>1717922741</v>
      </c>
      <c r="D63" s="119">
        <v>144414</v>
      </c>
      <c r="E63" s="120">
        <v>81750276</v>
      </c>
      <c r="F63" s="119">
        <v>352853</v>
      </c>
      <c r="G63" s="120">
        <v>1799673017</v>
      </c>
      <c r="H63" s="119">
        <v>22112</v>
      </c>
      <c r="I63" s="121">
        <v>793352175</v>
      </c>
      <c r="J63" s="119">
        <v>15862</v>
      </c>
      <c r="K63" s="121">
        <v>1950744</v>
      </c>
      <c r="L63" s="119">
        <v>380262</v>
      </c>
      <c r="M63" s="121">
        <v>1008271586</v>
      </c>
      <c r="N63" s="234">
        <v>373048</v>
      </c>
      <c r="O63" s="235">
        <v>10917</v>
      </c>
      <c r="P63" s="235">
        <v>1177</v>
      </c>
      <c r="Q63" s="236">
        <v>385142</v>
      </c>
      <c r="R63" s="85" t="s">
        <v>39</v>
      </c>
    </row>
    <row r="64" spans="1:9" ht="25.5" customHeight="1">
      <c r="A64" s="86" t="s">
        <v>217</v>
      </c>
      <c r="B64" s="86"/>
      <c r="C64" s="86"/>
      <c r="D64" s="86"/>
      <c r="E64" s="86"/>
      <c r="F64" s="86"/>
      <c r="G64" s="86"/>
      <c r="H64" s="86"/>
      <c r="I64" s="86"/>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2021-12-15T02:05:44Z</cp:lastPrinted>
  <dcterms:created xsi:type="dcterms:W3CDTF">2003-07-09T01:05:10Z</dcterms:created>
  <dcterms:modified xsi:type="dcterms:W3CDTF">2022-01-13T09:39:25Z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