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767"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<sst xmlns="http://schemas.openxmlformats.org/spreadsheetml/2006/main" count="520" uniqueCount="237">
  <si>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</si>
  <si>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</si>
  <si>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</si>
  <si>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</si>
  <si>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</si>
  <si>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</si>
  <si>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</si>
  <si>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</si>
  <si>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</si>
  <si>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</si>
  <si>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</si>
  <si>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</si>
  <si>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</si>
  <si>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</si>
  <si>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</si>
  <si>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</si>
  <si>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</si>
  <si>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</si>
  <si>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</si>
  <si>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</si>
  <si>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</si>
  <si>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</si>
  <si>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</si>
  <si>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</si>
  <si>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</si>
  <si>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</si>
  <si>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</si>
  <si>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</si>
  <si>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</si>
  <si>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</si>
  <si>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</si>
  <si>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</si>
  <si>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</si>
  <si>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</si>
  <si>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</si>
  <si>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合計</t>
  </si>
  <si>
    <t>　イ　個人事業者</t>
  </si>
  <si>
    <t>既往年分の
申告及び処理</t>
  </si>
  <si>
    <t>合　　　　　　計</t>
  </si>
  <si>
    <t>税務署名</t>
  </si>
  <si>
    <t>簡易申告及び処理</t>
  </si>
  <si>
    <t>小　　　　　　計</t>
  </si>
  <si>
    <t>総　計</t>
  </si>
  <si>
    <t>総　計</t>
  </si>
  <si>
    <t/>
  </si>
  <si>
    <t>岐阜北</t>
  </si>
  <si>
    <t>岐阜北</t>
  </si>
  <si>
    <t>岐阜南</t>
  </si>
  <si>
    <t>岐阜南</t>
  </si>
  <si>
    <t>大垣</t>
  </si>
  <si>
    <t>大垣</t>
  </si>
  <si>
    <t>高山</t>
  </si>
  <si>
    <t>高山</t>
  </si>
  <si>
    <t>多治見</t>
  </si>
  <si>
    <t>多治見</t>
  </si>
  <si>
    <t>関</t>
  </si>
  <si>
    <t>関</t>
  </si>
  <si>
    <t>中津川</t>
  </si>
  <si>
    <t>中津川</t>
  </si>
  <si>
    <t>岐阜県計</t>
  </si>
  <si>
    <t>岐阜県計</t>
  </si>
  <si>
    <t>静岡</t>
  </si>
  <si>
    <t>静岡</t>
  </si>
  <si>
    <t>清水</t>
  </si>
  <si>
    <t>清水</t>
  </si>
  <si>
    <t>浜松西</t>
  </si>
  <si>
    <t>浜松西</t>
  </si>
  <si>
    <t>浜松東</t>
  </si>
  <si>
    <t>浜松東</t>
  </si>
  <si>
    <t>沼津</t>
  </si>
  <si>
    <t>沼津</t>
  </si>
  <si>
    <t>熱海</t>
  </si>
  <si>
    <t>熱海</t>
  </si>
  <si>
    <t>三島</t>
  </si>
  <si>
    <t>三島</t>
  </si>
  <si>
    <t>島田</t>
  </si>
  <si>
    <t>島田</t>
  </si>
  <si>
    <t>富士</t>
  </si>
  <si>
    <t>富士</t>
  </si>
  <si>
    <t>磐田</t>
  </si>
  <si>
    <t>磐田</t>
  </si>
  <si>
    <t>掛川</t>
  </si>
  <si>
    <t>掛川</t>
  </si>
  <si>
    <t>藤枝</t>
  </si>
  <si>
    <t>藤枝</t>
  </si>
  <si>
    <t>下田</t>
  </si>
  <si>
    <t>下田</t>
  </si>
  <si>
    <t>静岡県計</t>
  </si>
  <si>
    <t>静岡県計</t>
  </si>
  <si>
    <t>千種</t>
  </si>
  <si>
    <t>千種</t>
  </si>
  <si>
    <t>名古屋東</t>
  </si>
  <si>
    <t>名古屋東</t>
  </si>
  <si>
    <t>名古屋北</t>
  </si>
  <si>
    <t>名古屋北</t>
  </si>
  <si>
    <t>名古屋西</t>
  </si>
  <si>
    <t>名古屋西</t>
  </si>
  <si>
    <t>名古屋中村</t>
  </si>
  <si>
    <t>名古屋中村</t>
  </si>
  <si>
    <t>名古屋中</t>
  </si>
  <si>
    <t>名古屋中</t>
  </si>
  <si>
    <t>昭和</t>
  </si>
  <si>
    <t>昭和</t>
  </si>
  <si>
    <t>熱田</t>
  </si>
  <si>
    <t>熱田</t>
  </si>
  <si>
    <t>中川</t>
  </si>
  <si>
    <t>中川</t>
  </si>
  <si>
    <t>豊橋</t>
  </si>
  <si>
    <t>豊橋</t>
  </si>
  <si>
    <t>岡崎</t>
  </si>
  <si>
    <t>岡崎</t>
  </si>
  <si>
    <t>一宮</t>
  </si>
  <si>
    <t>一宮</t>
  </si>
  <si>
    <t>尾張瀬戸</t>
  </si>
  <si>
    <t>尾張瀬戸</t>
  </si>
  <si>
    <t>半田</t>
  </si>
  <si>
    <t>半田</t>
  </si>
  <si>
    <t>津島</t>
  </si>
  <si>
    <t>津島</t>
  </si>
  <si>
    <t>刈谷</t>
  </si>
  <si>
    <t>刈谷</t>
  </si>
  <si>
    <t>豊田</t>
  </si>
  <si>
    <t>豊田</t>
  </si>
  <si>
    <t>西尾</t>
  </si>
  <si>
    <t>西尾</t>
  </si>
  <si>
    <t>小牧</t>
  </si>
  <si>
    <t>小牧</t>
  </si>
  <si>
    <t>新城</t>
  </si>
  <si>
    <t>新城</t>
  </si>
  <si>
    <t>愛知県計</t>
  </si>
  <si>
    <t>愛知県計</t>
  </si>
  <si>
    <t>津</t>
  </si>
  <si>
    <t>津</t>
  </si>
  <si>
    <t>四日市</t>
  </si>
  <si>
    <t>四日市</t>
  </si>
  <si>
    <t>伊勢</t>
  </si>
  <si>
    <t>伊勢</t>
  </si>
  <si>
    <t>松阪</t>
  </si>
  <si>
    <t>松阪</t>
  </si>
  <si>
    <t>桑名</t>
  </si>
  <si>
    <t>桑名</t>
  </si>
  <si>
    <t>上野</t>
  </si>
  <si>
    <t>上野</t>
  </si>
  <si>
    <t>鈴鹿</t>
  </si>
  <si>
    <t>鈴鹿</t>
  </si>
  <si>
    <t>尾鷲</t>
  </si>
  <si>
    <t>尾鷲</t>
  </si>
  <si>
    <t>三重県計</t>
  </si>
  <si>
    <t>三重県計</t>
  </si>
  <si>
    <t>　ロ　法　　　人</t>
  </si>
  <si>
    <t>税務署名</t>
  </si>
  <si>
    <t>　ハ　個人事業者と法人の合計</t>
  </si>
  <si>
    <t>課税事業者
届出</t>
  </si>
  <si>
    <t>合　　　計</t>
  </si>
  <si>
    <t>税務署名</t>
  </si>
  <si>
    <t>納　　　税　　　申　　　告　　　及　　　び　　　処　　　理</t>
  </si>
  <si>
    <t>税額</t>
  </si>
  <si>
    <t>税　　　額
(①－②＋③)</t>
  </si>
  <si>
    <t>岐阜北</t>
  </si>
  <si>
    <t>課　税　事　業　者　等　届　出　件　数</t>
  </si>
  <si>
    <t>課税事業者
選択届出</t>
  </si>
  <si>
    <t>新設法人に
該当する旨
の届出</t>
  </si>
  <si>
    <t>税　　額
(①－②＋③)</t>
  </si>
  <si>
    <t>平成25年度</t>
  </si>
  <si>
    <t>調査対象等：</t>
  </si>
  <si>
    <t>　（注）１</t>
  </si>
  <si>
    <t>税関分は含まない。</t>
  </si>
  <si>
    <t>　　　　２</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</si>
  <si>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</si>
  <si>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</si>
  <si>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</si>
  <si>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</si>
  <si>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</si>
  <si>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</si>
  <si>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</si>
  <si>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</si>
  <si>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</si>
  <si>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</si>
  <si>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</si>
  <si>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</si>
  <si>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</si>
  <si>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</si>
  <si>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</si>
  <si>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</si>
  <si>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</si>
  <si>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</si>
  <si>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</si>
  <si>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</si>
  <si>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</si>
  <si>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</si>
  <si>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</si>
  <si>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</si>
  <si>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</si>
  <si>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</si>
  <si>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</si>
  <si>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</si>
  <si>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</si>
  <si>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</si>
  <si>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</si>
  <si>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</si>
  <si>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</si>
  <si>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</si>
  <si>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</si>
  <si>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</si>
  <si>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</si>
  <si>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</si>
  <si>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</si>
  <si>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</si>
  <si>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</si>
  <si>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</si>
  <si>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</si>
  <si>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</si>
  <si>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</si>
  <si>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</si>
  <si>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</si>
  <si>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</si>
  <si>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</si>
  <si>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</si>
  <si>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</si>
  <si>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</si>
  <si>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税　額
①</t>
  </si>
  <si>
    <t>税　額
②</t>
  </si>
  <si>
    <t>税　額
③</t>
  </si>
  <si>
    <t>件　数</t>
  </si>
  <si>
    <t>平成26年度</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</si>
  <si>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</si>
  <si>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</si>
  <si>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平成27年度</t>
  </si>
  <si>
    <t>実件</t>
  </si>
  <si>
    <t>(4)　税務署別課税状況等</t>
  </si>
  <si>
    <t>(4)　税務署別課税状況等（続）</t>
  </si>
  <si>
    <t>「件数」欄の「実」は、実件数を示す。</t>
  </si>
  <si>
    <t>　「現年分」は、平成29年４月１日から平成30年３月31日までに終了した課税期間について、平成30年６月30日現在の申告（国・地方公共団体等については平成30年９月30日までの申告を含む。）及び処理（更正、決定等）による課税事績を「申告書及び決議書」に基づいて作成した。</t>
  </si>
  <si>
    <t>　「既往年分」は、平成29年３月31日以前に終了した課税期間について、平成29年７月１日から平成30年６月30日までの間の申告（平成29年７月１日から同年９月30日までの間の国・地方公共団体等に係る申告を除く。）及び処理（更正、決定等）による課税事績を「申告書及び決議書」に基づいて作成した。</t>
  </si>
  <si>
    <t>平成28年度</t>
  </si>
  <si>
    <t>平成29度</t>
  </si>
  <si>
    <t>調査対象等：　平成29年度末（平成30年３月31日現在）の届出件数を示している。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</si>
</sst>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sz val="10"/>
      <name val="ＭＳ 明朝"/>
      <family val="1"/>
    </font>
    <font>
      <sz val="10"/>
      <name val="ＭＳ ゴシック"/>
      <family val="3"/>
    </font>
    <font>
      <b/>
      <sz val="10"/>
      <name val="ＭＳ 明朝"/>
      <family val="1"/>
    </font>
    <font>
      <sz val="10"/>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hair"/>
      <right style="thin"/>
      <top style="hair"/>
      <bottom style="thin"/>
    </border>
    <border>
      <left style="hair"/>
      <right/>
      <top style="hair"/>
      <bottom style="thin"/>
    </border>
    <border>
      <left style="hair"/>
      <right/>
      <top style="thin"/>
      <bottom/>
    </border>
    <border>
      <left style="medium"/>
      <right/>
      <top/>
      <bottom style="hair">
        <color rgb="FF969696"/>
      </bottom>
    </border>
    <border>
      <left style="thin"/>
      <right style="medium"/>
      <top/>
      <bottom style="hair">
        <color rgb="FF969696"/>
      </bottom>
    </border>
    <border>
      <left style="medium"/>
      <right/>
      <top style="hair">
        <color rgb="FF969696"/>
      </top>
      <bottom style="hair">
        <color rgb="FF969696"/>
      </bottom>
    </border>
    <border>
      <left style="thin"/>
      <right style="medium"/>
      <top style="hair">
        <color rgb="FF969696"/>
      </top>
      <bottom style="hair">
        <color rgb="FF969696"/>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double"/>
      <bottom style="medium"/>
    </border>
    <border>
      <left>
        <color indexed="63"/>
      </left>
      <right>
        <color indexed="63"/>
      </right>
      <top style="medium"/>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color indexed="63"/>
      </top>
      <bottom style="hair">
        <color rgb="FF969696"/>
      </bottom>
    </border>
    <border>
      <left style="hair"/>
      <right style="thin"/>
      <top>
        <color indexed="63"/>
      </top>
      <bottom style="hair">
        <color rgb="FF969696"/>
      </bottom>
    </border>
    <border>
      <left style="hair"/>
      <right/>
      <top/>
      <bottom style="hair">
        <color rgb="FF969696"/>
      </bottom>
    </border>
    <border>
      <left style="hair"/>
      <right style="hair"/>
      <top>
        <color indexed="63"/>
      </top>
      <bottom style="hair">
        <color rgb="FF969696"/>
      </bottom>
    </border>
    <border>
      <left style="thin"/>
      <right style="hair"/>
      <top style="hair">
        <color rgb="FF969696"/>
      </top>
      <bottom style="hair">
        <color rgb="FF969696"/>
      </bottom>
    </border>
    <border>
      <left style="hair"/>
      <right style="thin"/>
      <top style="hair">
        <color rgb="FF969696"/>
      </top>
      <bottom style="hair">
        <color rgb="FF969696"/>
      </bottom>
    </border>
    <border>
      <left style="hair"/>
      <right/>
      <top style="hair">
        <color rgb="FF969696"/>
      </top>
      <bottom style="hair">
        <color rgb="FF969696"/>
      </bottom>
    </border>
    <border>
      <left style="hair"/>
      <right style="hair"/>
      <top style="hair">
        <color rgb="FF969696"/>
      </top>
      <bottom style="hair">
        <color rgb="FF969696"/>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top style="thin">
        <color rgb="FF969696"/>
      </top>
      <bottom style="double"/>
    </border>
    <border>
      <left style="hair"/>
      <right style="thin"/>
      <top style="thin">
        <color rgb="FF969696"/>
      </top>
      <bottom style="double"/>
    </border>
    <border>
      <left style="thin"/>
      <right style="hair"/>
      <top style="thin">
        <color rgb="FF969696"/>
      </top>
      <bottom style="double"/>
    </border>
    <border>
      <left style="thin"/>
      <right style="hair"/>
      <top style="hair">
        <color indexed="55"/>
      </top>
      <bottom style="medium"/>
    </border>
    <border>
      <left style="hair"/>
      <right style="medium"/>
      <top style="hair">
        <color indexed="55"/>
      </top>
      <bottom style="medium"/>
    </border>
    <border>
      <left>
        <color indexed="63"/>
      </left>
      <right/>
      <top style="hair"/>
      <bottom style="thin"/>
    </border>
    <border>
      <left style="thin"/>
      <right/>
      <top style="hair"/>
      <bottom style="thin"/>
    </border>
    <border>
      <left style="thin"/>
      <right style="hair"/>
      <top style="hair"/>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top style="hair">
        <color rgb="FF969696"/>
      </top>
      <bottom>
        <color indexed="63"/>
      </bottom>
    </border>
    <border>
      <left style="thin"/>
      <right style="hair"/>
      <top style="hair">
        <color rgb="FF969696"/>
      </top>
      <bottom>
        <color indexed="63"/>
      </bottom>
    </border>
    <border>
      <left style="hair"/>
      <right style="thin"/>
      <top style="hair">
        <color rgb="FF969696"/>
      </top>
      <bottom>
        <color indexed="63"/>
      </bottom>
    </border>
    <border>
      <left style="hair"/>
      <right/>
      <top style="hair">
        <color rgb="FF969696"/>
      </top>
      <bottom>
        <color indexed="63"/>
      </bottom>
    </border>
    <border>
      <left style="thin"/>
      <right style="medium"/>
      <top style="hair">
        <color rgb="FF969696"/>
      </top>
      <bottom>
        <color indexed="63"/>
      </bottom>
    </border>
    <border>
      <left style="medium"/>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thin"/>
      <right/>
      <top>
        <color indexed="63"/>
      </top>
      <bottom style="double"/>
    </border>
    <border>
      <left style="hair"/>
      <right style="thin"/>
      <top>
        <color indexed="63"/>
      </top>
      <bottom style="double"/>
    </border>
    <border>
      <left style="thin"/>
      <right style="hair"/>
      <top>
        <color indexed="63"/>
      </top>
      <bottom style="double"/>
    </border>
    <border>
      <left style="medium"/>
      <right/>
      <top style="thin">
        <color theme="0" tint="-0.3499799966812134"/>
      </top>
      <bottom style="thin">
        <color rgb="FF969696"/>
      </bottom>
    </border>
    <border>
      <left style="thin"/>
      <right style="hair"/>
      <top style="thin">
        <color theme="0" tint="-0.3499799966812134"/>
      </top>
      <bottom style="thin">
        <color rgb="FF969696"/>
      </bottom>
    </border>
    <border>
      <left style="hair"/>
      <right style="thin"/>
      <top style="thin">
        <color theme="0" tint="-0.3499799966812134"/>
      </top>
      <bottom style="thin">
        <color rgb="FF969696"/>
      </bottom>
    </border>
    <border>
      <left style="hair"/>
      <right/>
      <top style="thin">
        <color theme="0" tint="-0.3499799966812134"/>
      </top>
      <bottom style="thin">
        <color rgb="FF969696"/>
      </bottom>
    </border>
    <border>
      <left style="thin"/>
      <right style="medium"/>
      <top style="thin">
        <color theme="0" tint="-0.3499799966812134"/>
      </top>
      <bottom style="thin">
        <color rgb="FF969696"/>
      </bottom>
    </border>
    <border>
      <left style="hair"/>
      <right style="hair"/>
      <top>
        <color indexed="63"/>
      </top>
      <bottom>
        <color indexed="63"/>
      </bottom>
    </border>
    <border>
      <left style="hair"/>
      <right/>
      <top/>
      <bottom>
        <color indexed="63"/>
      </bottom>
    </border>
    <border>
      <left style="hair"/>
      <right style="hair"/>
      <top style="thin">
        <color theme="0" tint="-0.3499799966812134"/>
      </top>
      <bottom style="thin">
        <color theme="0" tint="-0.3499799966812134"/>
      </bottom>
    </border>
    <border>
      <left style="hair"/>
      <right style="hair"/>
      <top style="hair">
        <color rgb="FF969696"/>
      </top>
      <bottom>
        <color indexed="63"/>
      </bottom>
    </border>
    <border>
      <left style="thin"/>
      <right style="medium"/>
      <top/>
      <botto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style="thin"/>
      <bottom>
        <color indexed="63"/>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29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8" xfId="0" applyFont="1" applyBorder="1" applyAlignment="1">
      <alignment horizontal="distributed" vertical="center" indent="1"/>
    </xf>
    <xf numFmtId="0" fontId="10" fillId="0" borderId="0" xfId="61" applyFont="1" applyBorder="1" applyAlignment="1">
      <alignment horizontal="left" vertical="center"/>
      <protection/>
    </xf>
    <xf numFmtId="0" fontId="10" fillId="0" borderId="0" xfId="61" applyFont="1" applyBorder="1" applyAlignment="1">
      <alignment horizontal="left" vertical="top"/>
      <protection/>
    </xf>
    <xf numFmtId="0" fontId="10" fillId="0" borderId="39" xfId="61" applyFont="1" applyBorder="1" applyAlignment="1">
      <alignment horizontal="distributed" vertical="center" indent="1"/>
      <protection/>
    </xf>
    <xf numFmtId="0" fontId="10" fillId="0" borderId="40"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6" borderId="13" xfId="61" applyFont="1" applyFill="1" applyBorder="1" applyAlignment="1">
      <alignment horizontal="right" vertical="top"/>
      <protection/>
    </xf>
    <xf numFmtId="0" fontId="7" fillId="37" borderId="10" xfId="61" applyFont="1" applyFill="1" applyBorder="1" applyAlignment="1">
      <alignment horizontal="right" vertical="top"/>
      <protection/>
    </xf>
    <xf numFmtId="0" fontId="7" fillId="37" borderId="41"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8" fillId="0" borderId="0" xfId="61" applyFont="1" applyBorder="1" applyAlignment="1">
      <alignment horizontal="right" vertical="top"/>
      <protection/>
    </xf>
    <xf numFmtId="0" fontId="10" fillId="35" borderId="42" xfId="61" applyFont="1" applyFill="1" applyBorder="1" applyAlignment="1">
      <alignment horizontal="distributed" vertical="center"/>
      <protection/>
    </xf>
    <xf numFmtId="0" fontId="10" fillId="35" borderId="43" xfId="61" applyFont="1" applyFill="1" applyBorder="1" applyAlignment="1">
      <alignment horizontal="distributed" vertical="center"/>
      <protection/>
    </xf>
    <xf numFmtId="0" fontId="9" fillId="0" borderId="0" xfId="61" applyFont="1" applyBorder="1">
      <alignment/>
      <protection/>
    </xf>
    <xf numFmtId="0" fontId="10" fillId="35" borderId="44" xfId="61" applyFont="1" applyFill="1" applyBorder="1" applyAlignment="1">
      <alignment horizontal="distributed" vertical="center"/>
      <protection/>
    </xf>
    <xf numFmtId="0" fontId="10" fillId="35" borderId="45" xfId="61" applyFont="1" applyFill="1" applyBorder="1" applyAlignment="1">
      <alignment horizontal="distributed" vertical="center"/>
      <protection/>
    </xf>
    <xf numFmtId="0" fontId="12" fillId="0" borderId="46" xfId="61" applyFont="1" applyFill="1" applyBorder="1" applyAlignment="1">
      <alignment horizontal="distributed" vertical="center"/>
      <protection/>
    </xf>
    <xf numFmtId="0" fontId="12" fillId="0" borderId="47" xfId="61" applyFont="1" applyFill="1" applyBorder="1" applyAlignment="1">
      <alignment horizontal="center" vertical="center"/>
      <protection/>
    </xf>
    <xf numFmtId="0" fontId="11" fillId="0" borderId="48" xfId="61" applyFont="1" applyBorder="1" applyAlignment="1">
      <alignment horizontal="center" vertical="center"/>
      <protection/>
    </xf>
    <xf numFmtId="0" fontId="11" fillId="0" borderId="49" xfId="61" applyFont="1" applyBorder="1" applyAlignment="1">
      <alignment horizontal="center" vertical="center"/>
      <protection/>
    </xf>
    <xf numFmtId="0" fontId="13" fillId="0" borderId="0" xfId="61" applyFont="1" applyBorder="1">
      <alignment/>
      <protection/>
    </xf>
    <xf numFmtId="0" fontId="8" fillId="0" borderId="0" xfId="61" applyFont="1" applyBorder="1" applyAlignment="1">
      <alignment vertical="top"/>
      <protection/>
    </xf>
    <xf numFmtId="0" fontId="10" fillId="35" borderId="32" xfId="61" applyFont="1" applyFill="1" applyBorder="1" applyAlignment="1">
      <alignment horizontal="distributed" vertical="top"/>
      <protection/>
    </xf>
    <xf numFmtId="0" fontId="10" fillId="36" borderId="13" xfId="61" applyFont="1" applyFill="1" applyBorder="1" applyAlignment="1">
      <alignment horizontal="right" vertical="top"/>
      <protection/>
    </xf>
    <xf numFmtId="0" fontId="10" fillId="37" borderId="10" xfId="61" applyFont="1" applyFill="1" applyBorder="1" applyAlignment="1">
      <alignment horizontal="right" vertical="top"/>
      <protection/>
    </xf>
    <xf numFmtId="0" fontId="10" fillId="36" borderId="29" xfId="61" applyFont="1" applyFill="1" applyBorder="1" applyAlignment="1">
      <alignment horizontal="right" vertical="top"/>
      <protection/>
    </xf>
    <xf numFmtId="0" fontId="10" fillId="36" borderId="41" xfId="61" applyFont="1" applyFill="1" applyBorder="1" applyAlignment="1">
      <alignment horizontal="right" vertical="top"/>
      <protection/>
    </xf>
    <xf numFmtId="0" fontId="10" fillId="35" borderId="37" xfId="61" applyFont="1" applyFill="1" applyBorder="1" applyAlignment="1">
      <alignment horizontal="distributed" vertical="top"/>
      <protection/>
    </xf>
    <xf numFmtId="0" fontId="13" fillId="0" borderId="0" xfId="61" applyFont="1" applyBorder="1" applyAlignment="1">
      <alignment vertical="top"/>
      <protection/>
    </xf>
    <xf numFmtId="0" fontId="14" fillId="35" borderId="42" xfId="61" applyFont="1" applyFill="1" applyBorder="1" applyAlignment="1">
      <alignment horizontal="distributed" vertical="center" shrinkToFit="1"/>
      <protection/>
    </xf>
    <xf numFmtId="0" fontId="14" fillId="35" borderId="43" xfId="61" applyFont="1" applyFill="1" applyBorder="1" applyAlignment="1">
      <alignment horizontal="distributed" vertical="center" shrinkToFit="1"/>
      <protection/>
    </xf>
    <xf numFmtId="0" fontId="14" fillId="35" borderId="44" xfId="61" applyFont="1" applyFill="1" applyBorder="1" applyAlignment="1">
      <alignment horizontal="distributed" vertical="center" shrinkToFit="1"/>
      <protection/>
    </xf>
    <xf numFmtId="0" fontId="14" fillId="35" borderId="45" xfId="61" applyFont="1" applyFill="1" applyBorder="1" applyAlignment="1">
      <alignment horizontal="distributed" vertical="center" shrinkToFit="1"/>
      <protection/>
    </xf>
    <xf numFmtId="0" fontId="10" fillId="35" borderId="42" xfId="61" applyFont="1" applyFill="1" applyBorder="1" applyAlignment="1">
      <alignment horizontal="distributed" vertical="center" shrinkToFit="1"/>
      <protection/>
    </xf>
    <xf numFmtId="0" fontId="10" fillId="35" borderId="45" xfId="61" applyFont="1" applyFill="1" applyBorder="1" applyAlignment="1">
      <alignment horizontal="distributed" vertical="center" shrinkToFit="1"/>
      <protection/>
    </xf>
    <xf numFmtId="0" fontId="15" fillId="0" borderId="46" xfId="61" applyFont="1" applyFill="1" applyBorder="1" applyAlignment="1">
      <alignment horizontal="distributed" vertical="center" shrinkToFit="1"/>
      <protection/>
    </xf>
    <xf numFmtId="0" fontId="11" fillId="0" borderId="48" xfId="61" applyFont="1" applyBorder="1" applyAlignment="1">
      <alignment horizontal="center" vertical="center" shrinkToFit="1"/>
      <protection/>
    </xf>
    <xf numFmtId="0" fontId="11" fillId="0" borderId="50" xfId="61" applyFont="1" applyBorder="1" applyAlignment="1">
      <alignment horizontal="center" vertical="center" shrinkToFit="1"/>
      <protection/>
    </xf>
    <xf numFmtId="0" fontId="10" fillId="0" borderId="51" xfId="61" applyFont="1" applyBorder="1" applyAlignment="1">
      <alignment vertical="center"/>
      <protection/>
    </xf>
    <xf numFmtId="0" fontId="10" fillId="0" borderId="39" xfId="61" applyFont="1" applyBorder="1" applyAlignment="1">
      <alignment horizontal="distributed" vertical="center" wrapText="1" indent="1"/>
      <protection/>
    </xf>
    <xf numFmtId="0" fontId="10" fillId="0" borderId="39" xfId="61" applyFont="1" applyBorder="1" applyAlignment="1">
      <alignment horizontal="centerContinuous" vertical="center" wrapText="1"/>
      <protection/>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0" borderId="0" xfId="0" applyFont="1" applyBorder="1" applyAlignment="1">
      <alignment horizontal="left" vertical="top" wrapText="1"/>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11" fillId="0" borderId="0" xfId="61" applyFont="1" applyFill="1" applyBorder="1" applyAlignment="1">
      <alignment horizontal="center" vertical="center"/>
      <protection/>
    </xf>
    <xf numFmtId="177" fontId="11" fillId="0" borderId="0" xfId="61" applyNumberFormat="1" applyFont="1" applyFill="1" applyBorder="1" applyAlignment="1">
      <alignment horizontal="right" vertical="center"/>
      <protection/>
    </xf>
    <xf numFmtId="0" fontId="9" fillId="0" borderId="0" xfId="61" applyFont="1" applyFill="1" applyBorder="1">
      <alignment/>
      <protection/>
    </xf>
    <xf numFmtId="3" fontId="2" fillId="34" borderId="52" xfId="0" applyNumberFormat="1" applyFont="1" applyFill="1" applyBorder="1" applyAlignment="1">
      <alignment horizontal="right" vertical="center"/>
    </xf>
    <xf numFmtId="3" fontId="2" fillId="34" borderId="53"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54" xfId="0" applyNumberFormat="1" applyFont="1" applyFill="1" applyBorder="1" applyAlignment="1">
      <alignment horizontal="right" vertical="center"/>
    </xf>
    <xf numFmtId="3" fontId="6" fillId="34" borderId="53"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54"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3" borderId="56"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4" borderId="58" xfId="0" applyNumberFormat="1" applyFont="1" applyFill="1" applyBorder="1" applyAlignment="1">
      <alignment vertical="center"/>
    </xf>
    <xf numFmtId="3" fontId="2" fillId="34" borderId="53" xfId="0" applyNumberFormat="1" applyFont="1" applyFill="1" applyBorder="1" applyAlignment="1">
      <alignment vertical="center"/>
    </xf>
    <xf numFmtId="3" fontId="6" fillId="34" borderId="59" xfId="0" applyNumberFormat="1" applyFont="1" applyFill="1" applyBorder="1" applyAlignment="1">
      <alignment horizontal="right" vertical="center"/>
    </xf>
    <xf numFmtId="3" fontId="6" fillId="33" borderId="60" xfId="0" applyNumberFormat="1" applyFont="1" applyFill="1" applyBorder="1" applyAlignment="1">
      <alignment horizontal="right" vertical="center"/>
    </xf>
    <xf numFmtId="3" fontId="6" fillId="33" borderId="61"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177" fontId="14" fillId="36" borderId="65" xfId="61" applyNumberFormat="1" applyFont="1" applyFill="1" applyBorder="1" applyAlignment="1">
      <alignment horizontal="right" vertical="center" shrinkToFit="1"/>
      <protection/>
    </xf>
    <xf numFmtId="177" fontId="14" fillId="37" borderId="66" xfId="61" applyNumberFormat="1" applyFont="1" applyFill="1" applyBorder="1" applyAlignment="1">
      <alignment horizontal="right" vertical="center" shrinkToFit="1"/>
      <protection/>
    </xf>
    <xf numFmtId="177" fontId="14" fillId="37" borderId="67" xfId="61" applyNumberFormat="1" applyFont="1" applyFill="1" applyBorder="1" applyAlignment="1">
      <alignment horizontal="right" vertical="center" shrinkToFit="1"/>
      <protection/>
    </xf>
    <xf numFmtId="177" fontId="14" fillId="36" borderId="68" xfId="61" applyNumberFormat="1" applyFont="1" applyFill="1" applyBorder="1" applyAlignment="1">
      <alignment horizontal="right" vertical="center" shrinkToFit="1"/>
      <protection/>
    </xf>
    <xf numFmtId="177" fontId="14" fillId="36" borderId="67" xfId="61" applyNumberFormat="1" applyFont="1" applyFill="1" applyBorder="1" applyAlignment="1">
      <alignment horizontal="right" vertical="center" shrinkToFit="1"/>
      <protection/>
    </xf>
    <xf numFmtId="177" fontId="14" fillId="36" borderId="69" xfId="61" applyNumberFormat="1" applyFont="1" applyFill="1" applyBorder="1" applyAlignment="1">
      <alignment horizontal="right" vertical="center" shrinkToFit="1"/>
      <protection/>
    </xf>
    <xf numFmtId="177" fontId="14" fillId="37" borderId="70" xfId="61" applyNumberFormat="1" applyFont="1" applyFill="1" applyBorder="1" applyAlignment="1">
      <alignment horizontal="right" vertical="center" shrinkToFit="1"/>
      <protection/>
    </xf>
    <xf numFmtId="177" fontId="14" fillId="37" borderId="71" xfId="61" applyNumberFormat="1" applyFont="1" applyFill="1" applyBorder="1" applyAlignment="1">
      <alignment horizontal="right" vertical="center" shrinkToFit="1"/>
      <protection/>
    </xf>
    <xf numFmtId="177" fontId="14" fillId="36" borderId="72" xfId="61" applyNumberFormat="1" applyFont="1" applyFill="1" applyBorder="1" applyAlignment="1">
      <alignment horizontal="right" vertical="center" shrinkToFit="1"/>
      <protection/>
    </xf>
    <xf numFmtId="177" fontId="14" fillId="36" borderId="71" xfId="61" applyNumberFormat="1" applyFont="1" applyFill="1" applyBorder="1" applyAlignment="1">
      <alignment horizontal="right" vertical="center" shrinkToFit="1"/>
      <protection/>
    </xf>
    <xf numFmtId="177" fontId="11" fillId="36" borderId="19" xfId="61" applyNumberFormat="1" applyFont="1" applyFill="1" applyBorder="1" applyAlignment="1">
      <alignment horizontal="right" vertical="center" shrinkToFit="1"/>
      <protection/>
    </xf>
    <xf numFmtId="177" fontId="11" fillId="37" borderId="63" xfId="61" applyNumberFormat="1" applyFont="1" applyFill="1" applyBorder="1" applyAlignment="1">
      <alignment horizontal="right" vertical="center" shrinkToFit="1"/>
      <protection/>
    </xf>
    <xf numFmtId="177" fontId="11" fillId="37" borderId="73" xfId="61" applyNumberFormat="1" applyFont="1" applyFill="1" applyBorder="1" applyAlignment="1">
      <alignment horizontal="right" vertical="center" shrinkToFit="1"/>
      <protection/>
    </xf>
    <xf numFmtId="177" fontId="11" fillId="36" borderId="74" xfId="61" applyNumberFormat="1" applyFont="1" applyFill="1" applyBorder="1" applyAlignment="1">
      <alignment horizontal="right" vertical="center" shrinkToFit="1"/>
      <protection/>
    </xf>
    <xf numFmtId="177" fontId="11" fillId="36" borderId="75" xfId="61" applyNumberFormat="1" applyFont="1" applyFill="1" applyBorder="1" applyAlignment="1">
      <alignment horizontal="right" vertical="center" shrinkToFit="1"/>
      <protection/>
    </xf>
    <xf numFmtId="177" fontId="11" fillId="36" borderId="76" xfId="61" applyNumberFormat="1" applyFont="1" applyFill="1" applyBorder="1" applyAlignment="1">
      <alignment horizontal="right" vertical="center" shrinkToFit="1"/>
      <protection/>
    </xf>
    <xf numFmtId="0" fontId="0" fillId="0" borderId="0" xfId="61" applyFont="1" applyBorder="1">
      <alignment/>
      <protection/>
    </xf>
    <xf numFmtId="177" fontId="10" fillId="36" borderId="65" xfId="61" applyNumberFormat="1" applyFont="1" applyFill="1" applyBorder="1" applyAlignment="1">
      <alignment horizontal="right" vertical="center"/>
      <protection/>
    </xf>
    <xf numFmtId="177" fontId="10" fillId="37" borderId="66" xfId="61" applyNumberFormat="1" applyFont="1" applyFill="1" applyBorder="1" applyAlignment="1">
      <alignment horizontal="right" vertical="center"/>
      <protection/>
    </xf>
    <xf numFmtId="177" fontId="10" fillId="37" borderId="67" xfId="61" applyNumberFormat="1" applyFont="1" applyFill="1" applyBorder="1" applyAlignment="1">
      <alignment horizontal="right" vertical="center"/>
      <protection/>
    </xf>
    <xf numFmtId="177" fontId="10" fillId="36" borderId="69" xfId="61" applyNumberFormat="1" applyFont="1" applyFill="1" applyBorder="1" applyAlignment="1">
      <alignment horizontal="right" vertical="center"/>
      <protection/>
    </xf>
    <xf numFmtId="177" fontId="10" fillId="37" borderId="70" xfId="61" applyNumberFormat="1" applyFont="1" applyFill="1" applyBorder="1" applyAlignment="1">
      <alignment horizontal="right" vertical="center"/>
      <protection/>
    </xf>
    <xf numFmtId="177" fontId="10" fillId="37" borderId="71" xfId="61" applyNumberFormat="1" applyFont="1" applyFill="1" applyBorder="1" applyAlignment="1">
      <alignment horizontal="right" vertical="center"/>
      <protection/>
    </xf>
    <xf numFmtId="177" fontId="10" fillId="37" borderId="71" xfId="61" applyNumberFormat="1" applyFont="1" applyFill="1" applyBorder="1" applyAlignment="1">
      <alignment horizontal="right" vertical="center" shrinkToFit="1"/>
      <protection/>
    </xf>
    <xf numFmtId="177" fontId="12" fillId="0" borderId="77" xfId="61" applyNumberFormat="1" applyFont="1" applyFill="1" applyBorder="1" applyAlignment="1">
      <alignment horizontal="right" vertical="center"/>
      <protection/>
    </xf>
    <xf numFmtId="177" fontId="12" fillId="0" borderId="78" xfId="61" applyNumberFormat="1" applyFont="1" applyFill="1" applyBorder="1" applyAlignment="1">
      <alignment horizontal="right" vertical="center"/>
      <protection/>
    </xf>
    <xf numFmtId="177" fontId="12" fillId="0" borderId="79" xfId="61" applyNumberFormat="1" applyFont="1" applyFill="1" applyBorder="1" applyAlignment="1">
      <alignment horizontal="right" vertical="center"/>
      <protection/>
    </xf>
    <xf numFmtId="177" fontId="11" fillId="36" borderId="19" xfId="61" applyNumberFormat="1" applyFont="1" applyFill="1" applyBorder="1" applyAlignment="1">
      <alignment horizontal="right" vertical="center"/>
      <protection/>
    </xf>
    <xf numFmtId="177" fontId="11" fillId="37" borderId="63" xfId="61" applyNumberFormat="1" applyFont="1" applyFill="1" applyBorder="1" applyAlignment="1">
      <alignment horizontal="right" vertical="center"/>
      <protection/>
    </xf>
    <xf numFmtId="177" fontId="11" fillId="37" borderId="73" xfId="61" applyNumberFormat="1" applyFont="1" applyFill="1" applyBorder="1" applyAlignment="1">
      <alignment horizontal="right" vertical="center"/>
      <protection/>
    </xf>
    <xf numFmtId="0" fontId="0" fillId="0" borderId="0" xfId="61" applyFont="1" applyFill="1" applyBorder="1">
      <alignment/>
      <protection/>
    </xf>
    <xf numFmtId="0" fontId="0" fillId="0" borderId="0" xfId="61" applyFont="1" applyBorder="1" applyAlignment="1">
      <alignment horizontal="center"/>
      <protection/>
    </xf>
    <xf numFmtId="3" fontId="2" fillId="34" borderId="80"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81" xfId="0" applyNumberFormat="1" applyFont="1" applyFill="1" applyBorder="1" applyAlignment="1">
      <alignment horizontal="right" vertical="center"/>
    </xf>
    <xf numFmtId="0" fontId="10" fillId="0" borderId="82" xfId="61" applyFont="1" applyBorder="1" applyAlignment="1">
      <alignment horizontal="centerContinuous" vertical="center" wrapText="1"/>
      <protection/>
    </xf>
    <xf numFmtId="0" fontId="10" fillId="0" borderId="83" xfId="61" applyFont="1" applyBorder="1" applyAlignment="1">
      <alignment horizontal="centerContinuous" vertical="center" wrapText="1"/>
      <protection/>
    </xf>
    <xf numFmtId="0" fontId="10" fillId="0" borderId="84" xfId="61" applyFont="1" applyBorder="1" applyAlignment="1">
      <alignment horizontal="centerContinuous" vertical="center" wrapText="1"/>
      <protection/>
    </xf>
    <xf numFmtId="3" fontId="2" fillId="34" borderId="85" xfId="0" applyNumberFormat="1" applyFont="1" applyFill="1" applyBorder="1" applyAlignment="1">
      <alignment vertical="center"/>
    </xf>
    <xf numFmtId="3" fontId="2" fillId="34" borderId="86" xfId="0" applyNumberFormat="1" applyFont="1" applyFill="1" applyBorder="1" applyAlignment="1">
      <alignment vertical="center"/>
    </xf>
    <xf numFmtId="3" fontId="2" fillId="34" borderId="87" xfId="0" applyNumberFormat="1" applyFont="1" applyFill="1" applyBorder="1" applyAlignment="1">
      <alignment vertical="center"/>
    </xf>
    <xf numFmtId="3" fontId="2" fillId="34" borderId="49" xfId="0" applyNumberFormat="1" applyFont="1" applyFill="1" applyBorder="1" applyAlignment="1">
      <alignment vertical="center"/>
    </xf>
    <xf numFmtId="0" fontId="10" fillId="35" borderId="88" xfId="61" applyFont="1" applyFill="1" applyBorder="1" applyAlignment="1">
      <alignment horizontal="distributed" vertical="center"/>
      <protection/>
    </xf>
    <xf numFmtId="177" fontId="10" fillId="36" borderId="89" xfId="61" applyNumberFormat="1" applyFont="1" applyFill="1" applyBorder="1" applyAlignment="1">
      <alignment horizontal="right" vertical="center"/>
      <protection/>
    </xf>
    <xf numFmtId="177" fontId="10" fillId="37" borderId="90" xfId="61" applyNumberFormat="1" applyFont="1" applyFill="1" applyBorder="1" applyAlignment="1">
      <alignment horizontal="right" vertical="center"/>
      <protection/>
    </xf>
    <xf numFmtId="177" fontId="10" fillId="37" borderId="91" xfId="61" applyNumberFormat="1" applyFont="1" applyFill="1" applyBorder="1" applyAlignment="1">
      <alignment horizontal="right" vertical="center"/>
      <protection/>
    </xf>
    <xf numFmtId="0" fontId="10" fillId="35" borderId="92" xfId="61" applyFont="1" applyFill="1" applyBorder="1" applyAlignment="1">
      <alignment horizontal="distributed" vertical="center"/>
      <protection/>
    </xf>
    <xf numFmtId="0" fontId="11" fillId="35" borderId="93" xfId="61" applyFont="1" applyFill="1" applyBorder="1" applyAlignment="1">
      <alignment horizontal="distributed" vertical="center"/>
      <protection/>
    </xf>
    <xf numFmtId="177" fontId="11" fillId="36" borderId="94" xfId="61" applyNumberFormat="1" applyFont="1" applyFill="1" applyBorder="1" applyAlignment="1">
      <alignment horizontal="right" vertical="center"/>
      <protection/>
    </xf>
    <xf numFmtId="177" fontId="11" fillId="37" borderId="95" xfId="61" applyNumberFormat="1" applyFont="1" applyFill="1" applyBorder="1" applyAlignment="1">
      <alignment horizontal="right" vertical="center"/>
      <protection/>
    </xf>
    <xf numFmtId="177" fontId="11" fillId="37" borderId="96" xfId="61" applyNumberFormat="1" applyFont="1" applyFill="1" applyBorder="1" applyAlignment="1">
      <alignment horizontal="right" vertical="center"/>
      <protection/>
    </xf>
    <xf numFmtId="0" fontId="11" fillId="35" borderId="97" xfId="61" applyFont="1" applyFill="1" applyBorder="1" applyAlignment="1">
      <alignment horizontal="distributed" vertical="center"/>
      <protection/>
    </xf>
    <xf numFmtId="0" fontId="12" fillId="0" borderId="93" xfId="61" applyFont="1" applyFill="1" applyBorder="1" applyAlignment="1">
      <alignment horizontal="distributed" vertical="center"/>
      <protection/>
    </xf>
    <xf numFmtId="177" fontId="12" fillId="0" borderId="98" xfId="61" applyNumberFormat="1" applyFont="1" applyFill="1" applyBorder="1" applyAlignment="1">
      <alignment horizontal="right" vertical="center"/>
      <protection/>
    </xf>
    <xf numFmtId="177" fontId="12" fillId="0" borderId="95" xfId="61" applyNumberFormat="1" applyFont="1" applyFill="1" applyBorder="1" applyAlignment="1">
      <alignment horizontal="right" vertical="center"/>
      <protection/>
    </xf>
    <xf numFmtId="177" fontId="12" fillId="0" borderId="94" xfId="61" applyNumberFormat="1" applyFont="1" applyFill="1" applyBorder="1" applyAlignment="1">
      <alignment horizontal="right" vertical="center"/>
      <protection/>
    </xf>
    <xf numFmtId="0" fontId="12" fillId="0" borderId="97" xfId="61" applyFont="1" applyFill="1" applyBorder="1" applyAlignment="1">
      <alignment horizontal="center" vertical="center"/>
      <protection/>
    </xf>
    <xf numFmtId="177" fontId="12" fillId="0" borderId="99" xfId="61" applyNumberFormat="1" applyFont="1" applyFill="1" applyBorder="1" applyAlignment="1">
      <alignment horizontal="right" vertical="center"/>
      <protection/>
    </xf>
    <xf numFmtId="177" fontId="12" fillId="0" borderId="100" xfId="61" applyNumberFormat="1" applyFont="1" applyFill="1" applyBorder="1" applyAlignment="1">
      <alignment horizontal="right" vertical="center"/>
      <protection/>
    </xf>
    <xf numFmtId="177" fontId="12" fillId="0" borderId="101" xfId="61" applyNumberFormat="1" applyFont="1" applyFill="1" applyBorder="1" applyAlignment="1">
      <alignment horizontal="right" vertical="center"/>
      <protection/>
    </xf>
    <xf numFmtId="0" fontId="11" fillId="35" borderId="102" xfId="61" applyFont="1" applyFill="1" applyBorder="1" applyAlignment="1">
      <alignment horizontal="distributed" vertical="center"/>
      <protection/>
    </xf>
    <xf numFmtId="177" fontId="11" fillId="36" borderId="103" xfId="61" applyNumberFormat="1" applyFont="1" applyFill="1" applyBorder="1" applyAlignment="1">
      <alignment horizontal="right" vertical="center"/>
      <protection/>
    </xf>
    <xf numFmtId="177" fontId="11" fillId="37" borderId="104" xfId="61" applyNumberFormat="1" applyFont="1" applyFill="1" applyBorder="1" applyAlignment="1">
      <alignment horizontal="right" vertical="center"/>
      <protection/>
    </xf>
    <xf numFmtId="177" fontId="11" fillId="37" borderId="105" xfId="61" applyNumberFormat="1" applyFont="1" applyFill="1" applyBorder="1" applyAlignment="1">
      <alignment horizontal="right" vertical="center"/>
      <protection/>
    </xf>
    <xf numFmtId="0" fontId="11" fillId="35" borderId="106" xfId="61" applyFont="1" applyFill="1" applyBorder="1" applyAlignment="1">
      <alignment horizontal="distributed" vertical="center"/>
      <protection/>
    </xf>
    <xf numFmtId="0" fontId="14" fillId="35" borderId="88" xfId="61" applyFont="1" applyFill="1" applyBorder="1" applyAlignment="1">
      <alignment horizontal="distributed" vertical="center" shrinkToFit="1"/>
      <protection/>
    </xf>
    <xf numFmtId="177" fontId="14" fillId="36" borderId="89" xfId="61" applyNumberFormat="1" applyFont="1" applyFill="1" applyBorder="1" applyAlignment="1">
      <alignment horizontal="right" vertical="center" shrinkToFit="1"/>
      <protection/>
    </xf>
    <xf numFmtId="177" fontId="14" fillId="37" borderId="90" xfId="61" applyNumberFormat="1" applyFont="1" applyFill="1" applyBorder="1" applyAlignment="1">
      <alignment horizontal="right" vertical="center" shrinkToFit="1"/>
      <protection/>
    </xf>
    <xf numFmtId="177" fontId="14" fillId="37" borderId="91" xfId="61" applyNumberFormat="1" applyFont="1" applyFill="1" applyBorder="1" applyAlignment="1">
      <alignment horizontal="right" vertical="center" shrinkToFit="1"/>
      <protection/>
    </xf>
    <xf numFmtId="177" fontId="14" fillId="36" borderId="18" xfId="61" applyNumberFormat="1" applyFont="1" applyFill="1" applyBorder="1" applyAlignment="1">
      <alignment horizontal="right" vertical="center" shrinkToFit="1"/>
      <protection/>
    </xf>
    <xf numFmtId="177" fontId="14" fillId="36" borderId="107" xfId="61" applyNumberFormat="1" applyFont="1" applyFill="1" applyBorder="1" applyAlignment="1">
      <alignment horizontal="right" vertical="center" shrinkToFit="1"/>
      <protection/>
    </xf>
    <xf numFmtId="177" fontId="14" fillId="36" borderId="108" xfId="61" applyNumberFormat="1" applyFont="1" applyFill="1" applyBorder="1" applyAlignment="1">
      <alignment horizontal="right" vertical="center" shrinkToFit="1"/>
      <protection/>
    </xf>
    <xf numFmtId="0" fontId="14" fillId="35" borderId="92" xfId="61" applyFont="1" applyFill="1" applyBorder="1" applyAlignment="1">
      <alignment horizontal="distributed" vertical="center" shrinkToFit="1"/>
      <protection/>
    </xf>
    <xf numFmtId="0" fontId="9" fillId="35" borderId="93" xfId="61" applyFont="1" applyFill="1" applyBorder="1" applyAlignment="1">
      <alignment horizontal="distributed" vertical="center" shrinkToFit="1"/>
      <protection/>
    </xf>
    <xf numFmtId="177" fontId="9" fillId="36" borderId="94" xfId="61" applyNumberFormat="1" applyFont="1" applyFill="1" applyBorder="1" applyAlignment="1">
      <alignment horizontal="right" vertical="center" shrinkToFit="1"/>
      <protection/>
    </xf>
    <xf numFmtId="177" fontId="9" fillId="37" borderId="95" xfId="61" applyNumberFormat="1" applyFont="1" applyFill="1" applyBorder="1" applyAlignment="1">
      <alignment horizontal="right" vertical="center" shrinkToFit="1"/>
      <protection/>
    </xf>
    <xf numFmtId="177" fontId="9" fillId="37" borderId="96" xfId="61" applyNumberFormat="1" applyFont="1" applyFill="1" applyBorder="1" applyAlignment="1">
      <alignment horizontal="right" vertical="center" shrinkToFit="1"/>
      <protection/>
    </xf>
    <xf numFmtId="177" fontId="9" fillId="36" borderId="109" xfId="61" applyNumberFormat="1" applyFont="1" applyFill="1" applyBorder="1" applyAlignment="1">
      <alignment horizontal="right" vertical="center" shrinkToFit="1"/>
      <protection/>
    </xf>
    <xf numFmtId="177" fontId="9" fillId="36" borderId="96" xfId="61" applyNumberFormat="1" applyFont="1" applyFill="1" applyBorder="1" applyAlignment="1">
      <alignment horizontal="right" vertical="center" shrinkToFit="1"/>
      <protection/>
    </xf>
    <xf numFmtId="0" fontId="9" fillId="35" borderId="97" xfId="61" applyFont="1" applyFill="1" applyBorder="1" applyAlignment="1">
      <alignment horizontal="distributed" vertical="center" shrinkToFit="1"/>
      <protection/>
    </xf>
    <xf numFmtId="0" fontId="15" fillId="0" borderId="93" xfId="61" applyFont="1" applyFill="1" applyBorder="1" applyAlignment="1">
      <alignment horizontal="distributed" vertical="center" shrinkToFit="1"/>
      <protection/>
    </xf>
    <xf numFmtId="177" fontId="15" fillId="0" borderId="98" xfId="61" applyNumberFormat="1" applyFont="1" applyFill="1" applyBorder="1" applyAlignment="1">
      <alignment horizontal="right" vertical="center" shrinkToFit="1"/>
      <protection/>
    </xf>
    <xf numFmtId="177" fontId="15" fillId="0" borderId="95" xfId="61" applyNumberFormat="1" applyFont="1" applyFill="1" applyBorder="1" applyAlignment="1">
      <alignment horizontal="right" vertical="center" shrinkToFit="1"/>
      <protection/>
    </xf>
    <xf numFmtId="177" fontId="15" fillId="0" borderId="94" xfId="61" applyNumberFormat="1" applyFont="1" applyFill="1" applyBorder="1" applyAlignment="1">
      <alignment horizontal="right" vertical="center" shrinkToFit="1"/>
      <protection/>
    </xf>
    <xf numFmtId="177" fontId="14" fillId="0" borderId="94" xfId="61" applyNumberFormat="1" applyFont="1" applyFill="1" applyBorder="1" applyAlignment="1">
      <alignment horizontal="right" vertical="center" shrinkToFit="1"/>
      <protection/>
    </xf>
    <xf numFmtId="177" fontId="14" fillId="0" borderId="109" xfId="61" applyNumberFormat="1" applyFont="1" applyFill="1" applyBorder="1" applyAlignment="1">
      <alignment horizontal="right" vertical="center" shrinkToFit="1"/>
      <protection/>
    </xf>
    <xf numFmtId="177" fontId="14" fillId="0" borderId="96" xfId="61" applyNumberFormat="1" applyFont="1" applyFill="1" applyBorder="1" applyAlignment="1">
      <alignment horizontal="right" vertical="center" shrinkToFit="1"/>
      <protection/>
    </xf>
    <xf numFmtId="0" fontId="15" fillId="0" borderId="97" xfId="61" applyFont="1" applyFill="1" applyBorder="1" applyAlignment="1">
      <alignment horizontal="center" vertical="center" shrinkToFit="1"/>
      <protection/>
    </xf>
    <xf numFmtId="177" fontId="14" fillId="36" borderId="110" xfId="61" applyNumberFormat="1" applyFont="1" applyFill="1" applyBorder="1" applyAlignment="1">
      <alignment horizontal="right" vertical="center" shrinkToFit="1"/>
      <protection/>
    </xf>
    <xf numFmtId="177" fontId="14" fillId="36" borderId="91" xfId="61" applyNumberFormat="1" applyFont="1" applyFill="1" applyBorder="1" applyAlignment="1">
      <alignment horizontal="right" vertical="center" shrinkToFit="1"/>
      <protection/>
    </xf>
    <xf numFmtId="177" fontId="15" fillId="0" borderId="99" xfId="61" applyNumberFormat="1" applyFont="1" applyFill="1" applyBorder="1" applyAlignment="1">
      <alignment horizontal="right" vertical="center" shrinkToFit="1"/>
      <protection/>
    </xf>
    <xf numFmtId="177" fontId="15" fillId="0" borderId="100" xfId="61" applyNumberFormat="1" applyFont="1" applyFill="1" applyBorder="1" applyAlignment="1">
      <alignment horizontal="right" vertical="center" shrinkToFit="1"/>
      <protection/>
    </xf>
    <xf numFmtId="177" fontId="15" fillId="0" borderId="101" xfId="61" applyNumberFormat="1" applyFont="1" applyFill="1" applyBorder="1" applyAlignment="1">
      <alignment horizontal="right" vertical="center" shrinkToFit="1"/>
      <protection/>
    </xf>
    <xf numFmtId="177" fontId="14" fillId="0" borderId="18" xfId="61" applyNumberFormat="1" applyFont="1" applyFill="1" applyBorder="1" applyAlignment="1">
      <alignment horizontal="right" vertical="center" shrinkToFit="1"/>
      <protection/>
    </xf>
    <xf numFmtId="177" fontId="14" fillId="0" borderId="107" xfId="61" applyNumberFormat="1" applyFont="1" applyFill="1" applyBorder="1" applyAlignment="1">
      <alignment horizontal="right" vertical="center" shrinkToFit="1"/>
      <protection/>
    </xf>
    <xf numFmtId="177" fontId="14" fillId="0" borderId="108" xfId="61" applyNumberFormat="1" applyFont="1" applyFill="1" applyBorder="1" applyAlignment="1">
      <alignment horizontal="right" vertical="center" shrinkToFit="1"/>
      <protection/>
    </xf>
    <xf numFmtId="0" fontId="15" fillId="0" borderId="111" xfId="61" applyFont="1" applyFill="1" applyBorder="1" applyAlignment="1">
      <alignment horizontal="center" vertical="center" shrinkToFit="1"/>
      <protection/>
    </xf>
    <xf numFmtId="0" fontId="2" fillId="0" borderId="112" xfId="0" applyFont="1" applyBorder="1" applyAlignment="1">
      <alignment horizontal="distributed" vertical="center" wrapText="1"/>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wrapText="1"/>
    </xf>
    <xf numFmtId="0" fontId="2" fillId="0" borderId="115" xfId="0" applyFont="1" applyBorder="1" applyAlignment="1">
      <alignment horizontal="distributed" vertical="center"/>
    </xf>
    <xf numFmtId="0" fontId="6" fillId="0" borderId="116" xfId="0" applyFont="1" applyBorder="1" applyAlignment="1">
      <alignment horizontal="distributed" vertical="center"/>
    </xf>
    <xf numFmtId="0" fontId="6" fillId="0" borderId="117" xfId="0" applyFont="1" applyBorder="1" applyAlignment="1">
      <alignment horizontal="distributed" vertical="center"/>
    </xf>
    <xf numFmtId="0" fontId="2" fillId="0" borderId="48" xfId="0" applyFont="1" applyBorder="1" applyAlignment="1">
      <alignment horizontal="distributed" vertical="center"/>
    </xf>
    <xf numFmtId="0" fontId="2" fillId="0" borderId="118"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27" xfId="0" applyFont="1" applyBorder="1" applyAlignment="1">
      <alignment horizontal="center" vertical="center"/>
    </xf>
    <xf numFmtId="0" fontId="2" fillId="0" borderId="51" xfId="0" applyFont="1" applyBorder="1" applyAlignment="1">
      <alignment horizontal="center" vertical="center"/>
    </xf>
    <xf numFmtId="0" fontId="2" fillId="0" borderId="128" xfId="0" applyFont="1" applyBorder="1" applyAlignment="1">
      <alignment horizontal="center" vertical="center"/>
    </xf>
    <xf numFmtId="0" fontId="2" fillId="0" borderId="114" xfId="0" applyFont="1" applyBorder="1" applyAlignment="1">
      <alignment horizontal="distributed" vertical="center"/>
    </xf>
    <xf numFmtId="0" fontId="2" fillId="0" borderId="129"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13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0" fillId="0" borderId="0" xfId="61" applyFont="1" applyBorder="1" applyAlignment="1">
      <alignment horizontal="left" vertical="center"/>
      <protection/>
    </xf>
    <xf numFmtId="0" fontId="10" fillId="0" borderId="119" xfId="61" applyFont="1" applyBorder="1" applyAlignment="1">
      <alignment horizontal="distributed" vertical="center"/>
      <protection/>
    </xf>
    <xf numFmtId="0" fontId="10" fillId="0" borderId="121" xfId="61" applyFont="1" applyBorder="1" applyAlignment="1">
      <alignment horizontal="distributed" vertical="center"/>
      <protection/>
    </xf>
    <xf numFmtId="0" fontId="10" fillId="0" borderId="131" xfId="61" applyFont="1" applyBorder="1" applyAlignment="1">
      <alignment horizontal="distributed" vertical="center"/>
      <protection/>
    </xf>
    <xf numFmtId="0" fontId="10" fillId="0" borderId="132" xfId="61" applyFont="1" applyBorder="1" applyAlignment="1">
      <alignment horizontal="center" vertical="center"/>
      <protection/>
    </xf>
    <xf numFmtId="0" fontId="10" fillId="0" borderId="133" xfId="61" applyFont="1" applyBorder="1" applyAlignment="1">
      <alignment horizontal="distributed" vertical="center" indent="1"/>
      <protection/>
    </xf>
    <xf numFmtId="0" fontId="10" fillId="0" borderId="134" xfId="61" applyFont="1" applyBorder="1" applyAlignment="1">
      <alignment horizontal="distributed" vertical="center" indent="1"/>
      <protection/>
    </xf>
    <xf numFmtId="0" fontId="10" fillId="0" borderId="135" xfId="61" applyFont="1" applyBorder="1" applyAlignment="1">
      <alignment horizontal="distributed" vertical="center" indent="1"/>
      <protection/>
    </xf>
    <xf numFmtId="0" fontId="10" fillId="0" borderId="136" xfId="61" applyFont="1" applyBorder="1" applyAlignment="1">
      <alignment horizontal="distributed" vertical="center" indent="1"/>
      <protection/>
    </xf>
    <xf numFmtId="0" fontId="10" fillId="0" borderId="133" xfId="61" applyFont="1" applyBorder="1" applyAlignment="1">
      <alignment horizontal="distributed" vertical="center" wrapText="1" indent="1"/>
      <protection/>
    </xf>
    <xf numFmtId="0" fontId="10" fillId="0" borderId="133" xfId="61" applyFont="1" applyBorder="1" applyAlignment="1">
      <alignment horizontal="center" vertical="center"/>
      <protection/>
    </xf>
    <xf numFmtId="0" fontId="10" fillId="0" borderId="134" xfId="61" applyFont="1" applyBorder="1" applyAlignment="1">
      <alignment horizontal="center" vertical="center"/>
      <protection/>
    </xf>
    <xf numFmtId="0" fontId="10" fillId="0" borderId="135" xfId="61" applyFont="1" applyBorder="1" applyAlignment="1">
      <alignment horizontal="center" vertical="center"/>
      <protection/>
    </xf>
    <xf numFmtId="0" fontId="10" fillId="0" borderId="136" xfId="61" applyFont="1" applyBorder="1" applyAlignment="1">
      <alignment horizontal="center" vertical="center"/>
      <protection/>
    </xf>
    <xf numFmtId="0" fontId="10" fillId="0" borderId="38" xfId="61" applyFont="1" applyBorder="1" applyAlignment="1">
      <alignment horizontal="distributed" vertical="center" wrapText="1"/>
      <protection/>
    </xf>
    <xf numFmtId="0" fontId="10" fillId="0" borderId="111" xfId="61" applyFont="1" applyBorder="1" applyAlignment="1">
      <alignment horizontal="distributed" vertical="center" wrapText="1"/>
      <protection/>
    </xf>
    <xf numFmtId="0" fontId="10" fillId="0" borderId="137" xfId="61" applyFont="1" applyBorder="1" applyAlignment="1">
      <alignment horizontal="distributed" vertical="center" wrapText="1"/>
      <protection/>
    </xf>
    <xf numFmtId="0" fontId="10" fillId="0" borderId="138" xfId="61" applyFont="1" applyBorder="1" applyAlignment="1">
      <alignment horizontal="distributed" vertical="center" indent="1"/>
      <protection/>
    </xf>
    <xf numFmtId="0" fontId="10" fillId="0" borderId="139" xfId="61" applyFont="1" applyBorder="1" applyAlignment="1">
      <alignment horizontal="distributed" vertical="center" indent="1"/>
      <protection/>
    </xf>
    <xf numFmtId="0" fontId="10" fillId="0" borderId="139" xfId="61" applyFont="1" applyBorder="1" applyAlignment="1">
      <alignment horizontal="center" vertical="center"/>
      <protection/>
    </xf>
    <xf numFmtId="0" fontId="10" fillId="0" borderId="140" xfId="61" applyFont="1" applyBorder="1" applyAlignment="1">
      <alignment horizontal="left" vertical="center"/>
      <protection/>
    </xf>
    <xf numFmtId="0" fontId="10" fillId="0" borderId="132" xfId="61" applyFont="1" applyBorder="1" applyAlignment="1">
      <alignment horizontal="distributed" vertical="center" indent="1"/>
      <protection/>
    </xf>
    <xf numFmtId="0" fontId="10" fillId="0" borderId="132" xfId="61" applyFont="1" applyBorder="1" applyAlignment="1">
      <alignment horizontal="distributed" vertical="center" wrapText="1" indent="1"/>
      <protection/>
    </xf>
    <xf numFmtId="0" fontId="10" fillId="0" borderId="138" xfId="61" applyFont="1" applyBorder="1" applyAlignment="1">
      <alignment horizontal="center" vertical="center"/>
      <protection/>
    </xf>
    <xf numFmtId="0" fontId="10" fillId="0" borderId="141" xfId="61" applyFont="1" applyBorder="1" applyAlignment="1">
      <alignment horizontal="center" vertical="center"/>
      <protection/>
    </xf>
    <xf numFmtId="0" fontId="10" fillId="0" borderId="142" xfId="61" applyFont="1" applyBorder="1" applyAlignment="1">
      <alignment horizontal="center" vertical="center"/>
      <protection/>
    </xf>
    <xf numFmtId="0" fontId="10" fillId="0" borderId="143" xfId="61" applyFont="1" applyBorder="1" applyAlignment="1">
      <alignment horizontal="distributed" vertical="center" wrapText="1"/>
      <protection/>
    </xf>
    <xf numFmtId="0" fontId="10" fillId="0" borderId="144" xfId="61" applyFont="1" applyBorder="1" applyAlignment="1">
      <alignment horizontal="distributed" vertical="center"/>
      <protection/>
    </xf>
    <xf numFmtId="0" fontId="10" fillId="0" borderId="145" xfId="61" applyFont="1" applyBorder="1" applyAlignment="1">
      <alignment horizontal="distributed" vertical="center" wrapText="1"/>
      <protection/>
    </xf>
    <xf numFmtId="0" fontId="10" fillId="0" borderId="146" xfId="61" applyFont="1" applyBorder="1" applyAlignment="1">
      <alignment horizontal="distributed" vertical="center"/>
      <protection/>
    </xf>
    <xf numFmtId="0" fontId="10" fillId="0" borderId="147" xfId="61" applyFont="1" applyBorder="1" applyAlignment="1">
      <alignment horizontal="distributed" vertical="center" wrapText="1"/>
      <protection/>
    </xf>
    <xf numFmtId="0" fontId="10" fillId="0" borderId="148" xfId="61" applyFont="1" applyBorder="1" applyAlignment="1">
      <alignment horizontal="distributed" vertical="center" wrapText="1"/>
      <protection/>
    </xf>
    <xf numFmtId="0" fontId="10" fillId="0" borderId="4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customWidth="1"/>
    <col min="9" max="9" width="3.00390625" style="1" customWidth="1"/>
    <col min="10" max="10" width="6.75390625" style="1" customWidth="1"/>
    <col min="11" max="11" width="11.375" style="1" bestFit="1" customWidth="1"/>
    <col min="12" max="16384" width="5.875" style="1" customWidth="1"/>
  </cols>
  <sheetData>
    <row r="1" spans="1:11" ht="15">
      <c r="A1" s="238" t="s">
        <v>0</v>
      </c>
      <c r="B1" s="238"/>
      <c r="C1" s="238"/>
      <c r="D1" s="238"/>
      <c r="E1" s="238"/>
      <c r="F1" s="238"/>
      <c r="G1" s="238"/>
      <c r="H1" s="238"/>
      <c r="I1" s="238"/>
      <c r="J1" s="238"/>
      <c r="K1" s="238"/>
    </row>
    <row r="2" spans="1:11" ht="15">
      <c r="A2" s="53"/>
      <c r="B2" s="53"/>
      <c r="C2" s="53"/>
      <c r="D2" s="53"/>
      <c r="E2" s="53"/>
      <c r="F2" s="53"/>
      <c r="G2" s="53"/>
      <c r="H2" s="53"/>
      <c r="I2" s="53"/>
      <c r="J2" s="53"/>
      <c r="K2" s="53"/>
    </row>
    <row r="3" spans="1:11" ht="12" thickBot="1">
      <c r="A3" s="239" t="s">
        <v>29</v>
      </c>
      <c r="B3" s="239"/>
      <c r="C3" s="239"/>
      <c r="D3" s="239"/>
      <c r="E3" s="239"/>
      <c r="F3" s="239"/>
      <c r="G3" s="239"/>
      <c r="H3" s="239"/>
      <c r="I3" s="239"/>
      <c r="J3" s="239"/>
      <c r="K3" s="239"/>
    </row>
    <row r="4" spans="1:11" ht="24" customHeight="1">
      <c r="A4" s="240" t="s">
        <v>1</v>
      </c>
      <c r="B4" s="241"/>
      <c r="C4" s="244" t="s">
        <v>15</v>
      </c>
      <c r="D4" s="245"/>
      <c r="E4" s="246"/>
      <c r="F4" s="244" t="s">
        <v>16</v>
      </c>
      <c r="G4" s="245"/>
      <c r="H4" s="246"/>
      <c r="I4" s="244" t="s">
        <v>17</v>
      </c>
      <c r="J4" s="245"/>
      <c r="K4" s="247"/>
    </row>
    <row r="5" spans="1:11" ht="24" customHeight="1">
      <c r="A5" s="242"/>
      <c r="B5" s="243"/>
      <c r="C5" s="248" t="s">
        <v>2</v>
      </c>
      <c r="D5" s="249"/>
      <c r="E5" s="6" t="s">
        <v>3</v>
      </c>
      <c r="F5" s="248" t="s">
        <v>2</v>
      </c>
      <c r="G5" s="249"/>
      <c r="H5" s="6" t="s">
        <v>3</v>
      </c>
      <c r="I5" s="248" t="s">
        <v>2</v>
      </c>
      <c r="J5" s="249"/>
      <c r="K5" s="14" t="s">
        <v>3</v>
      </c>
    </row>
    <row r="6" spans="1:11" ht="12" customHeight="1">
      <c r="A6" s="40"/>
      <c r="B6" s="43"/>
      <c r="C6" s="41"/>
      <c r="D6" s="33" t="s">
        <v>31</v>
      </c>
      <c r="E6" s="32" t="s">
        <v>30</v>
      </c>
      <c r="F6" s="41"/>
      <c r="G6" s="33" t="s">
        <v>31</v>
      </c>
      <c r="H6" s="32" t="s">
        <v>30</v>
      </c>
      <c r="I6" s="41"/>
      <c r="J6" s="33" t="s">
        <v>31</v>
      </c>
      <c r="K6" s="42" t="s">
        <v>30</v>
      </c>
    </row>
    <row r="7" spans="1:11" ht="30" customHeight="1">
      <c r="A7" s="227" t="s">
        <v>32</v>
      </c>
      <c r="B7" s="37" t="s">
        <v>18</v>
      </c>
      <c r="C7" s="15"/>
      <c r="D7" s="111">
        <v>58238</v>
      </c>
      <c r="E7" s="38">
        <v>39240385</v>
      </c>
      <c r="F7" s="18"/>
      <c r="G7" s="111">
        <v>155617</v>
      </c>
      <c r="H7" s="38">
        <v>1517042808</v>
      </c>
      <c r="I7" s="18"/>
      <c r="J7" s="111">
        <v>213855</v>
      </c>
      <c r="K7" s="39">
        <v>1556283193</v>
      </c>
    </row>
    <row r="8" spans="1:11" ht="30" customHeight="1">
      <c r="A8" s="228"/>
      <c r="B8" s="23" t="s">
        <v>19</v>
      </c>
      <c r="C8" s="15"/>
      <c r="D8" s="112">
        <v>89652</v>
      </c>
      <c r="E8" s="113">
        <v>38244543</v>
      </c>
      <c r="F8" s="18"/>
      <c r="G8" s="112">
        <v>59007</v>
      </c>
      <c r="H8" s="113">
        <v>35780011</v>
      </c>
      <c r="I8" s="18"/>
      <c r="J8" s="112">
        <v>148659</v>
      </c>
      <c r="K8" s="114">
        <v>74024554</v>
      </c>
    </row>
    <row r="9" spans="1:11" s="3" customFormat="1" ht="30" customHeight="1">
      <c r="A9" s="228"/>
      <c r="B9" s="24" t="s">
        <v>20</v>
      </c>
      <c r="C9" s="16"/>
      <c r="D9" s="115">
        <v>147890</v>
      </c>
      <c r="E9" s="116">
        <v>77484928</v>
      </c>
      <c r="F9" s="16"/>
      <c r="G9" s="115">
        <v>214624</v>
      </c>
      <c r="H9" s="116">
        <v>1552822819</v>
      </c>
      <c r="I9" s="16"/>
      <c r="J9" s="115">
        <v>362514</v>
      </c>
      <c r="K9" s="117">
        <v>1630307747</v>
      </c>
    </row>
    <row r="10" spans="1:11" ht="30" customHeight="1">
      <c r="A10" s="229"/>
      <c r="B10" s="25" t="s">
        <v>21</v>
      </c>
      <c r="C10" s="15"/>
      <c r="D10" s="118">
        <v>4155</v>
      </c>
      <c r="E10" s="119">
        <v>3360593</v>
      </c>
      <c r="F10" s="15"/>
      <c r="G10" s="118">
        <v>11944</v>
      </c>
      <c r="H10" s="119">
        <v>640633498</v>
      </c>
      <c r="I10" s="15"/>
      <c r="J10" s="118">
        <v>16099</v>
      </c>
      <c r="K10" s="120">
        <v>643994091</v>
      </c>
    </row>
    <row r="11" spans="1:11" ht="30" customHeight="1">
      <c r="A11" s="230" t="s">
        <v>33</v>
      </c>
      <c r="B11" s="54" t="s">
        <v>22</v>
      </c>
      <c r="C11" s="9"/>
      <c r="D11" s="121">
        <v>10687</v>
      </c>
      <c r="E11" s="20">
        <v>2040394</v>
      </c>
      <c r="F11" s="34"/>
      <c r="G11" s="122">
        <v>13108</v>
      </c>
      <c r="H11" s="20">
        <v>4680645</v>
      </c>
      <c r="I11" s="34"/>
      <c r="J11" s="122">
        <v>23795</v>
      </c>
      <c r="K11" s="21">
        <v>6721040</v>
      </c>
    </row>
    <row r="12" spans="1:11" ht="30" customHeight="1">
      <c r="A12" s="231"/>
      <c r="B12" s="55" t="s">
        <v>23</v>
      </c>
      <c r="C12" s="35"/>
      <c r="D12" s="112">
        <v>1276</v>
      </c>
      <c r="E12" s="113">
        <v>245832</v>
      </c>
      <c r="F12" s="36"/>
      <c r="G12" s="123">
        <v>1750</v>
      </c>
      <c r="H12" s="113">
        <v>2147111</v>
      </c>
      <c r="I12" s="36"/>
      <c r="J12" s="123">
        <v>3026</v>
      </c>
      <c r="K12" s="114">
        <v>2392943</v>
      </c>
    </row>
    <row r="13" spans="1:11" s="3" customFormat="1" ht="30" customHeight="1">
      <c r="A13" s="232" t="s">
        <v>6</v>
      </c>
      <c r="B13" s="233"/>
      <c r="C13" s="26" t="s">
        <v>14</v>
      </c>
      <c r="D13" s="124">
        <v>155813</v>
      </c>
      <c r="E13" s="125">
        <v>75918898</v>
      </c>
      <c r="F13" s="26" t="s">
        <v>14</v>
      </c>
      <c r="G13" s="124">
        <v>227961</v>
      </c>
      <c r="H13" s="125">
        <v>914722855</v>
      </c>
      <c r="I13" s="26" t="s">
        <v>14</v>
      </c>
      <c r="J13" s="124">
        <v>383774</v>
      </c>
      <c r="K13" s="126">
        <v>990641753</v>
      </c>
    </row>
    <row r="14" spans="1:11" ht="30" customHeight="1" thickBot="1">
      <c r="A14" s="234" t="s">
        <v>7</v>
      </c>
      <c r="B14" s="235"/>
      <c r="C14" s="17"/>
      <c r="D14" s="127">
        <v>10907</v>
      </c>
      <c r="E14" s="128">
        <v>463445</v>
      </c>
      <c r="F14" s="19"/>
      <c r="G14" s="127">
        <v>10276</v>
      </c>
      <c r="H14" s="128">
        <v>1350097</v>
      </c>
      <c r="I14" s="19"/>
      <c r="J14" s="127">
        <v>21183</v>
      </c>
      <c r="K14" s="129">
        <v>1813542</v>
      </c>
    </row>
    <row r="15" spans="1:11" s="103" customFormat="1" ht="3" customHeight="1">
      <c r="A15" s="100"/>
      <c r="B15" s="100"/>
      <c r="C15" s="101"/>
      <c r="D15" s="102"/>
      <c r="E15" s="102"/>
      <c r="F15" s="102"/>
      <c r="G15" s="102"/>
      <c r="H15" s="102"/>
      <c r="I15" s="102"/>
      <c r="J15" s="102"/>
      <c r="K15" s="102"/>
    </row>
    <row r="16" spans="1:11" s="4" customFormat="1" ht="37.5" customHeight="1">
      <c r="A16" s="104" t="s">
        <v>164</v>
      </c>
      <c r="B16" s="236" t="s">
        <v>232</v>
      </c>
      <c r="C16" s="236"/>
      <c r="D16" s="236"/>
      <c r="E16" s="236"/>
      <c r="F16" s="236"/>
      <c r="G16" s="236"/>
      <c r="H16" s="236"/>
      <c r="I16" s="236"/>
      <c r="J16" s="236"/>
      <c r="K16" s="236"/>
    </row>
    <row r="17" spans="2:11" ht="45" customHeight="1">
      <c r="B17" s="237" t="s">
        <v>233</v>
      </c>
      <c r="C17" s="237"/>
      <c r="D17" s="237"/>
      <c r="E17" s="237"/>
      <c r="F17" s="237"/>
      <c r="G17" s="237"/>
      <c r="H17" s="237"/>
      <c r="I17" s="237"/>
      <c r="J17" s="237"/>
      <c r="K17" s="237"/>
    </row>
    <row r="18" spans="1:2" ht="14.25" customHeight="1">
      <c r="A18" s="1" t="s">
        <v>165</v>
      </c>
      <c r="B18" s="1" t="s">
        <v>166</v>
      </c>
    </row>
    <row r="19" spans="1:2" ht="11.25">
      <c r="A19" s="58" t="s">
        <v>167</v>
      </c>
      <c r="B19" s="1" t="s">
        <v>231</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&amp;R名古屋国税局 消費税（H29）</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A1" sqref="A1"/>
    </sheetView>
  </sheetViews>
  <sheetFormatPr defaultColWidth="9.00390625" defaultRowHeight="13.5"/>
  <cols>
    <col min="1" max="1" width="10.625" style="57" customWidth="1"/>
    <col min="2" max="2" width="15.625" style="57" customWidth="1"/>
    <col min="3" max="3" width="8.625" style="57" customWidth="1"/>
    <col min="4" max="4" width="10.625" style="57" customWidth="1"/>
    <col min="5" max="5" width="8.625" style="57" customWidth="1"/>
    <col min="6" max="6" width="12.875" style="57" bestFit="1" customWidth="1"/>
    <col min="7" max="7" width="8.625" style="57" customWidth="1"/>
    <col min="8" max="8" width="12.875" style="57" bestFit="1" customWidth="1"/>
    <col min="9" max="16384" width="9.00390625" style="57" customWidth="1"/>
  </cols>
  <sheetData>
    <row r="1" s="1" customFormat="1" ht="12" thickBot="1">
      <c r="A1" s="1" t="s">
        <v>34</v>
      </c>
    </row>
    <row r="2" spans="1:8" s="1" customFormat="1" ht="15" customHeight="1">
      <c r="A2" s="240" t="s">
        <v>1</v>
      </c>
      <c r="B2" s="241"/>
      <c r="C2" s="250" t="s">
        <v>15</v>
      </c>
      <c r="D2" s="250"/>
      <c r="E2" s="250" t="s">
        <v>24</v>
      </c>
      <c r="F2" s="250"/>
      <c r="G2" s="251" t="s">
        <v>25</v>
      </c>
      <c r="H2" s="252"/>
    </row>
    <row r="3" spans="1:8" s="1" customFormat="1" ht="15" customHeight="1">
      <c r="A3" s="242"/>
      <c r="B3" s="243"/>
      <c r="C3" s="9" t="s">
        <v>26</v>
      </c>
      <c r="D3" s="6" t="s">
        <v>27</v>
      </c>
      <c r="E3" s="9" t="s">
        <v>26</v>
      </c>
      <c r="F3" s="7" t="s">
        <v>27</v>
      </c>
      <c r="G3" s="9" t="s">
        <v>26</v>
      </c>
      <c r="H3" s="8" t="s">
        <v>27</v>
      </c>
    </row>
    <row r="4" spans="1:8" s="10" customFormat="1" ht="15" customHeight="1">
      <c r="A4" s="45"/>
      <c r="B4" s="6"/>
      <c r="C4" s="46" t="s">
        <v>4</v>
      </c>
      <c r="D4" s="47" t="s">
        <v>5</v>
      </c>
      <c r="E4" s="46" t="s">
        <v>4</v>
      </c>
      <c r="F4" s="47" t="s">
        <v>5</v>
      </c>
      <c r="G4" s="46" t="s">
        <v>4</v>
      </c>
      <c r="H4" s="48" t="s">
        <v>5</v>
      </c>
    </row>
    <row r="5" spans="1:8" s="56" customFormat="1" ht="30" customHeight="1">
      <c r="A5" s="255" t="s">
        <v>163</v>
      </c>
      <c r="B5" s="37" t="s">
        <v>12</v>
      </c>
      <c r="C5" s="44">
        <v>151300</v>
      </c>
      <c r="D5" s="38">
        <v>48910848</v>
      </c>
      <c r="E5" s="44">
        <v>214781</v>
      </c>
      <c r="F5" s="38">
        <v>884729086</v>
      </c>
      <c r="G5" s="44">
        <v>366081</v>
      </c>
      <c r="H5" s="39">
        <v>933639934</v>
      </c>
    </row>
    <row r="6" spans="1:8" s="56" customFormat="1" ht="30" customHeight="1">
      <c r="A6" s="256"/>
      <c r="B6" s="25" t="s">
        <v>13</v>
      </c>
      <c r="C6" s="28">
        <v>3738</v>
      </c>
      <c r="D6" s="29">
        <v>1624932</v>
      </c>
      <c r="E6" s="28">
        <v>9818</v>
      </c>
      <c r="F6" s="29">
        <v>298920075</v>
      </c>
      <c r="G6" s="28">
        <v>13556</v>
      </c>
      <c r="H6" s="30">
        <v>300545007</v>
      </c>
    </row>
    <row r="7" spans="1:8" s="56" customFormat="1" ht="30" customHeight="1">
      <c r="A7" s="257" t="s">
        <v>224</v>
      </c>
      <c r="B7" s="22" t="s">
        <v>12</v>
      </c>
      <c r="C7" s="27">
        <v>150362</v>
      </c>
      <c r="D7" s="20">
        <v>69660505</v>
      </c>
      <c r="E7" s="27">
        <v>213979</v>
      </c>
      <c r="F7" s="20">
        <v>1267857516</v>
      </c>
      <c r="G7" s="27">
        <v>364341</v>
      </c>
      <c r="H7" s="21">
        <v>1337518021</v>
      </c>
    </row>
    <row r="8" spans="1:8" s="56" customFormat="1" ht="30" customHeight="1">
      <c r="A8" s="256"/>
      <c r="B8" s="25" t="s">
        <v>13</v>
      </c>
      <c r="C8" s="28">
        <v>4094</v>
      </c>
      <c r="D8" s="29">
        <v>2447865</v>
      </c>
      <c r="E8" s="28">
        <v>10805</v>
      </c>
      <c r="F8" s="29">
        <v>527261049</v>
      </c>
      <c r="G8" s="28">
        <v>14899</v>
      </c>
      <c r="H8" s="30">
        <v>529708915</v>
      </c>
    </row>
    <row r="9" spans="1:8" s="56" customFormat="1" ht="30" customHeight="1">
      <c r="A9" s="257" t="s">
        <v>227</v>
      </c>
      <c r="B9" s="22" t="s">
        <v>12</v>
      </c>
      <c r="C9" s="27">
        <v>149996</v>
      </c>
      <c r="D9" s="20">
        <v>77162897</v>
      </c>
      <c r="E9" s="27">
        <v>213781</v>
      </c>
      <c r="F9" s="20">
        <v>1492886948</v>
      </c>
      <c r="G9" s="27">
        <v>363777</v>
      </c>
      <c r="H9" s="21">
        <v>1570049845</v>
      </c>
    </row>
    <row r="10" spans="1:8" s="56" customFormat="1" ht="30" customHeight="1">
      <c r="A10" s="256"/>
      <c r="B10" s="25" t="s">
        <v>13</v>
      </c>
      <c r="C10" s="28">
        <v>4201</v>
      </c>
      <c r="D10" s="29">
        <v>3442565</v>
      </c>
      <c r="E10" s="28">
        <v>11419</v>
      </c>
      <c r="F10" s="29">
        <v>557756889</v>
      </c>
      <c r="G10" s="28">
        <v>15620</v>
      </c>
      <c r="H10" s="30">
        <v>561199454</v>
      </c>
    </row>
    <row r="11" spans="1:8" s="56" customFormat="1" ht="30" customHeight="1">
      <c r="A11" s="257" t="s">
        <v>234</v>
      </c>
      <c r="B11" s="22" t="s">
        <v>12</v>
      </c>
      <c r="C11" s="27">
        <v>150456</v>
      </c>
      <c r="D11" s="20">
        <v>78017079</v>
      </c>
      <c r="E11" s="27">
        <v>214585</v>
      </c>
      <c r="F11" s="20">
        <v>1518559627</v>
      </c>
      <c r="G11" s="27">
        <v>365041</v>
      </c>
      <c r="H11" s="21">
        <v>1596576707</v>
      </c>
    </row>
    <row r="12" spans="1:8" s="56" customFormat="1" ht="30" customHeight="1">
      <c r="A12" s="256"/>
      <c r="B12" s="25" t="s">
        <v>13</v>
      </c>
      <c r="C12" s="28">
        <v>4192</v>
      </c>
      <c r="D12" s="29">
        <v>3539687</v>
      </c>
      <c r="E12" s="28">
        <v>11672</v>
      </c>
      <c r="F12" s="29">
        <v>581475508</v>
      </c>
      <c r="G12" s="28">
        <v>15864</v>
      </c>
      <c r="H12" s="30">
        <v>585015195</v>
      </c>
    </row>
    <row r="13" spans="1:8" s="1" customFormat="1" ht="30" customHeight="1">
      <c r="A13" s="253" t="s">
        <v>235</v>
      </c>
      <c r="B13" s="22" t="s">
        <v>12</v>
      </c>
      <c r="C13" s="27">
        <v>147890</v>
      </c>
      <c r="D13" s="20">
        <v>77484928</v>
      </c>
      <c r="E13" s="27">
        <v>214624</v>
      </c>
      <c r="F13" s="20">
        <v>1552822819</v>
      </c>
      <c r="G13" s="27">
        <v>362514</v>
      </c>
      <c r="H13" s="21">
        <v>1630307747</v>
      </c>
    </row>
    <row r="14" spans="1:8" s="1" customFormat="1" ht="30" customHeight="1" thickBot="1">
      <c r="A14" s="254"/>
      <c r="B14" s="31" t="s">
        <v>13</v>
      </c>
      <c r="C14" s="162">
        <v>4155</v>
      </c>
      <c r="D14" s="163">
        <v>3360593</v>
      </c>
      <c r="E14" s="162">
        <v>11944</v>
      </c>
      <c r="F14" s="163">
        <v>640633498</v>
      </c>
      <c r="G14" s="162">
        <v>16099</v>
      </c>
      <c r="H14" s="164">
        <v>643994091</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&amp;R名古屋国税局 消費税（H29）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zoomScaleSheetLayoutView="100" workbookViewId="0" topLeftCell="A1">
      <selection activeCell="A1" sqref="A1"/>
    </sheetView>
  </sheetViews>
  <sheetFormatPr defaultColWidth="9.00390625" defaultRowHeight="13.5"/>
  <cols>
    <col min="1" max="2" width="18.625" style="57" customWidth="1"/>
    <col min="3" max="3" width="23.625" style="57" customWidth="1"/>
    <col min="4" max="4" width="18.625" style="57" customWidth="1"/>
    <col min="5" max="16384" width="9.00390625" style="57" customWidth="1"/>
  </cols>
  <sheetData>
    <row r="1" s="1" customFormat="1" ht="20.25" customHeight="1" thickBot="1">
      <c r="A1" s="1" t="s">
        <v>28</v>
      </c>
    </row>
    <row r="2" spans="1:4" s="4" customFormat="1" ht="19.5" customHeight="1">
      <c r="A2" s="11" t="s">
        <v>8</v>
      </c>
      <c r="B2" s="12" t="s">
        <v>9</v>
      </c>
      <c r="C2" s="13" t="s">
        <v>10</v>
      </c>
      <c r="D2" s="59" t="s">
        <v>35</v>
      </c>
    </row>
    <row r="3" spans="1:4" s="10" customFormat="1" ht="15" customHeight="1">
      <c r="A3" s="49" t="s">
        <v>4</v>
      </c>
      <c r="B3" s="50" t="s">
        <v>4</v>
      </c>
      <c r="C3" s="51" t="s">
        <v>4</v>
      </c>
      <c r="D3" s="52" t="s">
        <v>4</v>
      </c>
    </row>
    <row r="4" spans="1:9" s="4" customFormat="1" ht="30" customHeight="1" thickBot="1">
      <c r="A4" s="168">
        <v>376996</v>
      </c>
      <c r="B4" s="169">
        <v>9815</v>
      </c>
      <c r="C4" s="170">
        <v>1250</v>
      </c>
      <c r="D4" s="171">
        <v>388061</v>
      </c>
      <c r="E4" s="5"/>
      <c r="G4" s="5"/>
      <c r="I4" s="5"/>
    </row>
    <row r="5" spans="1:9" s="107" customFormat="1" ht="3" customHeight="1">
      <c r="A5" s="105"/>
      <c r="B5" s="105"/>
      <c r="C5" s="105"/>
      <c r="D5" s="105"/>
      <c r="E5" s="106"/>
      <c r="G5" s="106"/>
      <c r="I5" s="106"/>
    </row>
    <row r="6" spans="1:4" s="4" customFormat="1" ht="15" customHeight="1">
      <c r="A6" s="258" t="s">
        <v>236</v>
      </c>
      <c r="B6" s="258"/>
      <c r="C6" s="258"/>
      <c r="D6" s="258"/>
    </row>
    <row r="7" spans="1:4" s="4" customFormat="1" ht="15" customHeight="1">
      <c r="A7" s="259" t="s">
        <v>11</v>
      </c>
      <c r="B7" s="259"/>
      <c r="C7" s="259"/>
      <c r="D7" s="259"/>
    </row>
  </sheetData>
  <sheetProtection/>
  <mergeCells count="2">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消費税（H29）</oddFooter>
  </headerFooter>
</worksheet>
</file>

<file path=xl/worksheets/sheet4.xml><?xml version="1.0" encoding="utf-8"?>
<worksheet xmlns="http://schemas.openxmlformats.org/spreadsheetml/2006/main" xmlns:r="http://schemas.openxmlformats.org/officeDocument/2006/relationships">
  <dimension ref="A1:N65"/>
  <sheetViews>
    <sheetView showGridLines="0" zoomScale="85" zoomScaleNormal="85" zoomScaleSheetLayoutView="100" zoomScalePageLayoutView="115" workbookViewId="0" topLeftCell="A1">
      <selection activeCell="A1" sqref="A1"/>
    </sheetView>
  </sheetViews>
  <sheetFormatPr defaultColWidth="9.00390625" defaultRowHeight="13.5"/>
  <cols>
    <col min="1" max="1" width="11.375" style="146" customWidth="1"/>
    <col min="2" max="2" width="11.25390625" style="146" customWidth="1"/>
    <col min="3" max="3" width="12.625" style="146" customWidth="1"/>
    <col min="4" max="4" width="11.25390625" style="146" customWidth="1"/>
    <col min="5" max="5" width="12.625" style="146" customWidth="1"/>
    <col min="6" max="6" width="11.25390625" style="146" customWidth="1"/>
    <col min="7" max="7" width="12.625" style="146" customWidth="1"/>
    <col min="8" max="8" width="11.25390625" style="146" customWidth="1"/>
    <col min="9" max="9" width="12.625" style="146" customWidth="1"/>
    <col min="10" max="10" width="11.25390625" style="146" customWidth="1"/>
    <col min="11" max="11" width="12.625" style="146" customWidth="1"/>
    <col min="12" max="12" width="11.25390625" style="146" customWidth="1"/>
    <col min="13" max="13" width="12.625" style="146" customWidth="1"/>
    <col min="14" max="14" width="11.375" style="146" customWidth="1"/>
    <col min="15" max="16384" width="9.00390625" style="146" customWidth="1"/>
  </cols>
  <sheetData>
    <row r="1" spans="1:14" ht="13.5">
      <c r="A1" s="60" t="s">
        <v>229</v>
      </c>
      <c r="B1" s="60"/>
      <c r="C1" s="60"/>
      <c r="D1" s="60"/>
      <c r="E1" s="60"/>
      <c r="F1" s="60"/>
      <c r="G1" s="60"/>
      <c r="H1" s="61"/>
      <c r="I1" s="61"/>
      <c r="J1" s="61"/>
      <c r="K1" s="61"/>
      <c r="L1" s="61"/>
      <c r="M1" s="61"/>
      <c r="N1" s="61"/>
    </row>
    <row r="2" spans="1:14" ht="14.25" thickBot="1">
      <c r="A2" s="260" t="s">
        <v>36</v>
      </c>
      <c r="B2" s="260"/>
      <c r="C2" s="260"/>
      <c r="D2" s="260"/>
      <c r="E2" s="260"/>
      <c r="F2" s="260"/>
      <c r="G2" s="260"/>
      <c r="H2" s="61"/>
      <c r="I2" s="61"/>
      <c r="J2" s="61"/>
      <c r="K2" s="61"/>
      <c r="L2" s="61"/>
      <c r="M2" s="61"/>
      <c r="N2" s="61"/>
    </row>
    <row r="3" spans="1:14" ht="22.5" customHeight="1">
      <c r="A3" s="261" t="s">
        <v>154</v>
      </c>
      <c r="B3" s="264" t="s">
        <v>155</v>
      </c>
      <c r="C3" s="264"/>
      <c r="D3" s="264"/>
      <c r="E3" s="264"/>
      <c r="F3" s="264"/>
      <c r="G3" s="264"/>
      <c r="H3" s="265" t="s">
        <v>13</v>
      </c>
      <c r="I3" s="266"/>
      <c r="J3" s="269" t="s">
        <v>37</v>
      </c>
      <c r="K3" s="266"/>
      <c r="L3" s="270" t="s">
        <v>38</v>
      </c>
      <c r="M3" s="271"/>
      <c r="N3" s="274" t="s">
        <v>39</v>
      </c>
    </row>
    <row r="4" spans="1:14" ht="18.75" customHeight="1">
      <c r="A4" s="262"/>
      <c r="B4" s="277" t="s">
        <v>18</v>
      </c>
      <c r="C4" s="277"/>
      <c r="D4" s="267" t="s">
        <v>40</v>
      </c>
      <c r="E4" s="278"/>
      <c r="F4" s="272" t="s">
        <v>41</v>
      </c>
      <c r="G4" s="279"/>
      <c r="H4" s="267"/>
      <c r="I4" s="268"/>
      <c r="J4" s="267"/>
      <c r="K4" s="268"/>
      <c r="L4" s="272"/>
      <c r="M4" s="273"/>
      <c r="N4" s="275"/>
    </row>
    <row r="5" spans="1:14" s="161" customFormat="1" ht="33.75" customHeight="1">
      <c r="A5" s="263"/>
      <c r="B5" s="167" t="s">
        <v>223</v>
      </c>
      <c r="C5" s="62" t="s">
        <v>156</v>
      </c>
      <c r="D5" s="167" t="s">
        <v>223</v>
      </c>
      <c r="E5" s="62" t="s">
        <v>156</v>
      </c>
      <c r="F5" s="167" t="s">
        <v>223</v>
      </c>
      <c r="G5" s="63" t="s">
        <v>220</v>
      </c>
      <c r="H5" s="167" t="s">
        <v>223</v>
      </c>
      <c r="I5" s="63" t="s">
        <v>221</v>
      </c>
      <c r="J5" s="167" t="s">
        <v>223</v>
      </c>
      <c r="K5" s="63" t="s">
        <v>222</v>
      </c>
      <c r="L5" s="167" t="s">
        <v>223</v>
      </c>
      <c r="M5" s="63" t="s">
        <v>157</v>
      </c>
      <c r="N5" s="276"/>
    </row>
    <row r="6" spans="1:14" s="69" customFormat="1" ht="10.5">
      <c r="A6" s="64"/>
      <c r="B6" s="65" t="s">
        <v>4</v>
      </c>
      <c r="C6" s="66" t="s">
        <v>5</v>
      </c>
      <c r="D6" s="65" t="s">
        <v>4</v>
      </c>
      <c r="E6" s="66" t="s">
        <v>5</v>
      </c>
      <c r="F6" s="65" t="s">
        <v>4</v>
      </c>
      <c r="G6" s="66" t="s">
        <v>5</v>
      </c>
      <c r="H6" s="65" t="s">
        <v>4</v>
      </c>
      <c r="I6" s="67" t="s">
        <v>5</v>
      </c>
      <c r="J6" s="65" t="s">
        <v>4</v>
      </c>
      <c r="K6" s="67" t="s">
        <v>5</v>
      </c>
      <c r="L6" s="65" t="s">
        <v>228</v>
      </c>
      <c r="M6" s="67" t="s">
        <v>5</v>
      </c>
      <c r="N6" s="68"/>
    </row>
    <row r="7" spans="1:14" s="72" customFormat="1" ht="22.5" customHeight="1">
      <c r="A7" s="70" t="s">
        <v>45</v>
      </c>
      <c r="B7" s="147">
        <f>_xlfn.COMPOUNDVALUE(1)</f>
        <v>1991</v>
      </c>
      <c r="C7" s="148">
        <v>1146663</v>
      </c>
      <c r="D7" s="147">
        <f>_xlfn.COMPOUNDVALUE(2)</f>
        <v>2467</v>
      </c>
      <c r="E7" s="148">
        <v>1045920</v>
      </c>
      <c r="F7" s="147">
        <f>_xlfn.COMPOUNDVALUE(3)</f>
        <v>4458</v>
      </c>
      <c r="G7" s="148">
        <v>2192583</v>
      </c>
      <c r="H7" s="147">
        <f>_xlfn.COMPOUNDVALUE(4)</f>
        <v>135</v>
      </c>
      <c r="I7" s="149">
        <v>79950</v>
      </c>
      <c r="J7" s="147">
        <v>384</v>
      </c>
      <c r="K7" s="149">
        <v>60980</v>
      </c>
      <c r="L7" s="147">
        <v>4709</v>
      </c>
      <c r="M7" s="149">
        <v>2173613</v>
      </c>
      <c r="N7" s="71" t="s">
        <v>46</v>
      </c>
    </row>
    <row r="8" spans="1:14" s="72" customFormat="1" ht="22.5" customHeight="1">
      <c r="A8" s="73" t="s">
        <v>47</v>
      </c>
      <c r="B8" s="150">
        <f>_xlfn.COMPOUNDVALUE(5)</f>
        <v>1659</v>
      </c>
      <c r="C8" s="151">
        <v>1020503</v>
      </c>
      <c r="D8" s="150">
        <f>_xlfn.COMPOUNDVALUE(6)</f>
        <v>2011</v>
      </c>
      <c r="E8" s="151">
        <v>875506</v>
      </c>
      <c r="F8" s="150">
        <f>_xlfn.COMPOUNDVALUE(7)</f>
        <v>3670</v>
      </c>
      <c r="G8" s="151">
        <v>1896009</v>
      </c>
      <c r="H8" s="150">
        <f>_xlfn.COMPOUNDVALUE(8)</f>
        <v>90</v>
      </c>
      <c r="I8" s="152">
        <v>70363</v>
      </c>
      <c r="J8" s="150">
        <v>305</v>
      </c>
      <c r="K8" s="152">
        <v>61856</v>
      </c>
      <c r="L8" s="150">
        <v>3899</v>
      </c>
      <c r="M8" s="152">
        <v>1887502</v>
      </c>
      <c r="N8" s="74" t="s">
        <v>48</v>
      </c>
    </row>
    <row r="9" spans="1:14" s="72" customFormat="1" ht="22.5" customHeight="1">
      <c r="A9" s="73" t="s">
        <v>49</v>
      </c>
      <c r="B9" s="150">
        <f>_xlfn.COMPOUNDVALUE(9)</f>
        <v>1658</v>
      </c>
      <c r="C9" s="151">
        <v>1024705</v>
      </c>
      <c r="D9" s="150">
        <f>_xlfn.COMPOUNDVALUE(10)</f>
        <v>2211</v>
      </c>
      <c r="E9" s="151">
        <v>876687</v>
      </c>
      <c r="F9" s="150">
        <f>_xlfn.COMPOUNDVALUE(11)</f>
        <v>3869</v>
      </c>
      <c r="G9" s="151">
        <v>1901392</v>
      </c>
      <c r="H9" s="150">
        <f>_xlfn.COMPOUNDVALUE(12)</f>
        <v>112</v>
      </c>
      <c r="I9" s="152">
        <v>61102</v>
      </c>
      <c r="J9" s="150">
        <v>270</v>
      </c>
      <c r="K9" s="152">
        <v>48152</v>
      </c>
      <c r="L9" s="150">
        <v>4055</v>
      </c>
      <c r="M9" s="152">
        <v>1888442</v>
      </c>
      <c r="N9" s="74" t="s">
        <v>50</v>
      </c>
    </row>
    <row r="10" spans="1:14" s="72" customFormat="1" ht="22.5" customHeight="1">
      <c r="A10" s="73" t="s">
        <v>51</v>
      </c>
      <c r="B10" s="150">
        <f>_xlfn.COMPOUNDVALUE(13)</f>
        <v>714</v>
      </c>
      <c r="C10" s="151">
        <v>454393</v>
      </c>
      <c r="D10" s="150">
        <f>_xlfn.COMPOUNDVALUE(14)</f>
        <v>1433</v>
      </c>
      <c r="E10" s="151">
        <v>549226</v>
      </c>
      <c r="F10" s="150">
        <f>_xlfn.COMPOUNDVALUE(15)</f>
        <v>2147</v>
      </c>
      <c r="G10" s="151">
        <v>1003619</v>
      </c>
      <c r="H10" s="150">
        <f>_xlfn.COMPOUNDVALUE(16)</f>
        <v>44</v>
      </c>
      <c r="I10" s="152">
        <v>39914</v>
      </c>
      <c r="J10" s="150">
        <v>138</v>
      </c>
      <c r="K10" s="152">
        <v>13746</v>
      </c>
      <c r="L10" s="150">
        <v>2223</v>
      </c>
      <c r="M10" s="152">
        <v>977452</v>
      </c>
      <c r="N10" s="74" t="s">
        <v>52</v>
      </c>
    </row>
    <row r="11" spans="1:14" s="72" customFormat="1" ht="22.5" customHeight="1">
      <c r="A11" s="73" t="s">
        <v>53</v>
      </c>
      <c r="B11" s="150">
        <f>_xlfn.COMPOUNDVALUE(17)</f>
        <v>1077</v>
      </c>
      <c r="C11" s="151">
        <v>651163</v>
      </c>
      <c r="D11" s="150">
        <f>_xlfn.COMPOUNDVALUE(18)</f>
        <v>1842</v>
      </c>
      <c r="E11" s="151">
        <v>753160</v>
      </c>
      <c r="F11" s="150">
        <f>_xlfn.COMPOUNDVALUE(19)</f>
        <v>2919</v>
      </c>
      <c r="G11" s="151">
        <v>1404323</v>
      </c>
      <c r="H11" s="150">
        <f>_xlfn.COMPOUNDVALUE(20)</f>
        <v>98</v>
      </c>
      <c r="I11" s="152">
        <v>89003</v>
      </c>
      <c r="J11" s="150">
        <v>186</v>
      </c>
      <c r="K11" s="152">
        <v>21672</v>
      </c>
      <c r="L11" s="150">
        <v>3066</v>
      </c>
      <c r="M11" s="152">
        <v>1336993</v>
      </c>
      <c r="N11" s="74" t="s">
        <v>54</v>
      </c>
    </row>
    <row r="12" spans="1:14" s="72" customFormat="1" ht="22.5" customHeight="1">
      <c r="A12" s="73" t="s">
        <v>55</v>
      </c>
      <c r="B12" s="150">
        <f>_xlfn.COMPOUNDVALUE(21)</f>
        <v>1309</v>
      </c>
      <c r="C12" s="151">
        <v>740273</v>
      </c>
      <c r="D12" s="150">
        <f>_xlfn.COMPOUNDVALUE(22)</f>
        <v>1855</v>
      </c>
      <c r="E12" s="151">
        <v>728073</v>
      </c>
      <c r="F12" s="150">
        <f>_xlfn.COMPOUNDVALUE(23)</f>
        <v>3164</v>
      </c>
      <c r="G12" s="151">
        <v>1468346</v>
      </c>
      <c r="H12" s="150">
        <f>_xlfn.COMPOUNDVALUE(24)</f>
        <v>85</v>
      </c>
      <c r="I12" s="152">
        <v>25913</v>
      </c>
      <c r="J12" s="150">
        <v>265</v>
      </c>
      <c r="K12" s="152">
        <v>23763</v>
      </c>
      <c r="L12" s="150">
        <v>3287</v>
      </c>
      <c r="M12" s="152">
        <v>1466197</v>
      </c>
      <c r="N12" s="74" t="s">
        <v>56</v>
      </c>
    </row>
    <row r="13" spans="1:14" s="72" customFormat="1" ht="22.5" customHeight="1">
      <c r="A13" s="172" t="s">
        <v>57</v>
      </c>
      <c r="B13" s="173">
        <f>_xlfn.COMPOUNDVALUE(25)</f>
        <v>525</v>
      </c>
      <c r="C13" s="174">
        <v>311394</v>
      </c>
      <c r="D13" s="173">
        <f>_xlfn.COMPOUNDVALUE(26)</f>
        <v>836</v>
      </c>
      <c r="E13" s="174">
        <v>324253</v>
      </c>
      <c r="F13" s="173">
        <f>_xlfn.COMPOUNDVALUE(27)</f>
        <v>1361</v>
      </c>
      <c r="G13" s="174">
        <v>635647</v>
      </c>
      <c r="H13" s="173">
        <f>_xlfn.COMPOUNDVALUE(28)</f>
        <v>40</v>
      </c>
      <c r="I13" s="175">
        <v>29673</v>
      </c>
      <c r="J13" s="173">
        <v>104</v>
      </c>
      <c r="K13" s="175">
        <v>7384</v>
      </c>
      <c r="L13" s="173">
        <v>1429</v>
      </c>
      <c r="M13" s="175">
        <v>613358</v>
      </c>
      <c r="N13" s="176" t="s">
        <v>58</v>
      </c>
    </row>
    <row r="14" spans="1:14" s="72" customFormat="1" ht="22.5" customHeight="1">
      <c r="A14" s="177" t="s">
        <v>59</v>
      </c>
      <c r="B14" s="178">
        <v>8933</v>
      </c>
      <c r="C14" s="179">
        <v>5349093</v>
      </c>
      <c r="D14" s="178">
        <v>12655</v>
      </c>
      <c r="E14" s="179">
        <v>5152826</v>
      </c>
      <c r="F14" s="178">
        <v>21588</v>
      </c>
      <c r="G14" s="179">
        <v>10501919</v>
      </c>
      <c r="H14" s="178">
        <v>604</v>
      </c>
      <c r="I14" s="180">
        <v>395917</v>
      </c>
      <c r="J14" s="178">
        <v>1652</v>
      </c>
      <c r="K14" s="180">
        <v>237553</v>
      </c>
      <c r="L14" s="178">
        <v>22668</v>
      </c>
      <c r="M14" s="180">
        <v>10343556</v>
      </c>
      <c r="N14" s="181" t="s">
        <v>60</v>
      </c>
    </row>
    <row r="15" spans="1:14" s="72" customFormat="1" ht="22.5" customHeight="1">
      <c r="A15" s="182"/>
      <c r="B15" s="183"/>
      <c r="C15" s="184"/>
      <c r="D15" s="183"/>
      <c r="E15" s="184"/>
      <c r="F15" s="185"/>
      <c r="G15" s="184"/>
      <c r="H15" s="185"/>
      <c r="I15" s="184"/>
      <c r="J15" s="185"/>
      <c r="K15" s="184"/>
      <c r="L15" s="185"/>
      <c r="M15" s="184"/>
      <c r="N15" s="186"/>
    </row>
    <row r="16" spans="1:14" s="72" customFormat="1" ht="22.5" customHeight="1">
      <c r="A16" s="70" t="s">
        <v>61</v>
      </c>
      <c r="B16" s="147">
        <f>_xlfn.COMPOUNDVALUE(29)</f>
        <v>1884</v>
      </c>
      <c r="C16" s="148">
        <v>1194662</v>
      </c>
      <c r="D16" s="147">
        <f>_xlfn.COMPOUNDVALUE(30)</f>
        <v>3425</v>
      </c>
      <c r="E16" s="148">
        <v>1528572</v>
      </c>
      <c r="F16" s="147">
        <f>_xlfn.COMPOUNDVALUE(31)</f>
        <v>5309</v>
      </c>
      <c r="G16" s="148">
        <v>2723234</v>
      </c>
      <c r="H16" s="147">
        <f>_xlfn.COMPOUNDVALUE(32)</f>
        <v>101</v>
      </c>
      <c r="I16" s="149">
        <v>61856</v>
      </c>
      <c r="J16" s="147">
        <v>426</v>
      </c>
      <c r="K16" s="149">
        <v>46852</v>
      </c>
      <c r="L16" s="147">
        <v>5522</v>
      </c>
      <c r="M16" s="149">
        <v>2708230</v>
      </c>
      <c r="N16" s="71" t="s">
        <v>62</v>
      </c>
    </row>
    <row r="17" spans="1:14" s="72" customFormat="1" ht="22.5" customHeight="1">
      <c r="A17" s="70" t="s">
        <v>63</v>
      </c>
      <c r="B17" s="147">
        <f>_xlfn.COMPOUNDVALUE(33)</f>
        <v>908</v>
      </c>
      <c r="C17" s="148">
        <v>581361</v>
      </c>
      <c r="D17" s="147">
        <f>_xlfn.COMPOUNDVALUE(34)</f>
        <v>1760</v>
      </c>
      <c r="E17" s="148">
        <v>720471</v>
      </c>
      <c r="F17" s="147">
        <f>_xlfn.COMPOUNDVALUE(35)</f>
        <v>2668</v>
      </c>
      <c r="G17" s="148">
        <v>1301833</v>
      </c>
      <c r="H17" s="147">
        <f>_xlfn.COMPOUNDVALUE(36)</f>
        <v>43</v>
      </c>
      <c r="I17" s="149">
        <v>24202</v>
      </c>
      <c r="J17" s="147">
        <v>214</v>
      </c>
      <c r="K17" s="149">
        <v>28306</v>
      </c>
      <c r="L17" s="147">
        <v>2750</v>
      </c>
      <c r="M17" s="149">
        <v>1305937</v>
      </c>
      <c r="N17" s="71" t="s">
        <v>64</v>
      </c>
    </row>
    <row r="18" spans="1:14" s="72" customFormat="1" ht="22.5" customHeight="1">
      <c r="A18" s="70" t="s">
        <v>65</v>
      </c>
      <c r="B18" s="147">
        <f>_xlfn.COMPOUNDVALUE(37)</f>
        <v>1789</v>
      </c>
      <c r="C18" s="148">
        <v>1232302</v>
      </c>
      <c r="D18" s="147">
        <f>_xlfn.COMPOUNDVALUE(38)</f>
        <v>3579</v>
      </c>
      <c r="E18" s="148">
        <v>1480920</v>
      </c>
      <c r="F18" s="147">
        <f>_xlfn.COMPOUNDVALUE(39)</f>
        <v>5368</v>
      </c>
      <c r="G18" s="148">
        <v>2713222</v>
      </c>
      <c r="H18" s="147">
        <f>_xlfn.COMPOUNDVALUE(40)</f>
        <v>181</v>
      </c>
      <c r="I18" s="149">
        <v>149703</v>
      </c>
      <c r="J18" s="147">
        <v>324</v>
      </c>
      <c r="K18" s="149">
        <v>24995</v>
      </c>
      <c r="L18" s="147">
        <v>5652</v>
      </c>
      <c r="M18" s="149">
        <v>2588514</v>
      </c>
      <c r="N18" s="71" t="s">
        <v>66</v>
      </c>
    </row>
    <row r="19" spans="1:14" s="72" customFormat="1" ht="22.5" customHeight="1">
      <c r="A19" s="70" t="s">
        <v>67</v>
      </c>
      <c r="B19" s="147">
        <f>_xlfn.COMPOUNDVALUE(41)</f>
        <v>1197</v>
      </c>
      <c r="C19" s="148">
        <v>690015</v>
      </c>
      <c r="D19" s="147">
        <f>_xlfn.COMPOUNDVALUE(42)</f>
        <v>1892</v>
      </c>
      <c r="E19" s="148">
        <v>725760</v>
      </c>
      <c r="F19" s="147">
        <f>_xlfn.COMPOUNDVALUE(43)</f>
        <v>3089</v>
      </c>
      <c r="G19" s="148">
        <v>1415774</v>
      </c>
      <c r="H19" s="147">
        <f>_xlfn.COMPOUNDVALUE(44)</f>
        <v>86</v>
      </c>
      <c r="I19" s="149">
        <v>59651</v>
      </c>
      <c r="J19" s="147">
        <v>192</v>
      </c>
      <c r="K19" s="149">
        <v>25557</v>
      </c>
      <c r="L19" s="147">
        <v>3224</v>
      </c>
      <c r="M19" s="149">
        <v>1381680</v>
      </c>
      <c r="N19" s="71" t="s">
        <v>68</v>
      </c>
    </row>
    <row r="20" spans="1:14" s="72" customFormat="1" ht="22.5" customHeight="1">
      <c r="A20" s="70" t="s">
        <v>69</v>
      </c>
      <c r="B20" s="147">
        <f>_xlfn.COMPOUNDVALUE(45)</f>
        <v>1315</v>
      </c>
      <c r="C20" s="148">
        <v>980350</v>
      </c>
      <c r="D20" s="147">
        <f>_xlfn.COMPOUNDVALUE(46)</f>
        <v>2321</v>
      </c>
      <c r="E20" s="148">
        <v>1019679</v>
      </c>
      <c r="F20" s="147">
        <f>_xlfn.COMPOUNDVALUE(47)</f>
        <v>3636</v>
      </c>
      <c r="G20" s="148">
        <v>2000028</v>
      </c>
      <c r="H20" s="147">
        <f>_xlfn.COMPOUNDVALUE(48)</f>
        <v>79</v>
      </c>
      <c r="I20" s="149">
        <v>133065</v>
      </c>
      <c r="J20" s="147">
        <v>358</v>
      </c>
      <c r="K20" s="149">
        <v>55879</v>
      </c>
      <c r="L20" s="147">
        <v>3836</v>
      </c>
      <c r="M20" s="149">
        <v>1922843</v>
      </c>
      <c r="N20" s="71" t="s">
        <v>70</v>
      </c>
    </row>
    <row r="21" spans="1:14" s="72" customFormat="1" ht="22.5" customHeight="1">
      <c r="A21" s="70" t="s">
        <v>71</v>
      </c>
      <c r="B21" s="147">
        <f>_xlfn.COMPOUNDVALUE(49)</f>
        <v>467</v>
      </c>
      <c r="C21" s="148">
        <v>274452</v>
      </c>
      <c r="D21" s="147">
        <f>_xlfn.COMPOUNDVALUE(50)</f>
        <v>838</v>
      </c>
      <c r="E21" s="148">
        <v>340579</v>
      </c>
      <c r="F21" s="147">
        <f>_xlfn.COMPOUNDVALUE(51)</f>
        <v>1305</v>
      </c>
      <c r="G21" s="148">
        <v>615031</v>
      </c>
      <c r="H21" s="147">
        <f>_xlfn.COMPOUNDVALUE(52)</f>
        <v>35</v>
      </c>
      <c r="I21" s="149">
        <v>20661</v>
      </c>
      <c r="J21" s="147">
        <v>90</v>
      </c>
      <c r="K21" s="149">
        <v>13796</v>
      </c>
      <c r="L21" s="147">
        <v>1371</v>
      </c>
      <c r="M21" s="149">
        <v>608165</v>
      </c>
      <c r="N21" s="71" t="s">
        <v>72</v>
      </c>
    </row>
    <row r="22" spans="1:14" s="72" customFormat="1" ht="22.5" customHeight="1">
      <c r="A22" s="73" t="s">
        <v>73</v>
      </c>
      <c r="B22" s="150">
        <f>_xlfn.COMPOUNDVALUE(53)</f>
        <v>710</v>
      </c>
      <c r="C22" s="151">
        <v>457810</v>
      </c>
      <c r="D22" s="150">
        <f>_xlfn.COMPOUNDVALUE(54)</f>
        <v>1633</v>
      </c>
      <c r="E22" s="151">
        <v>660778</v>
      </c>
      <c r="F22" s="150">
        <f>_xlfn.COMPOUNDVALUE(55)</f>
        <v>2343</v>
      </c>
      <c r="G22" s="151">
        <v>1118587</v>
      </c>
      <c r="H22" s="150">
        <f>_xlfn.COMPOUNDVALUE(56)</f>
        <v>34</v>
      </c>
      <c r="I22" s="152">
        <v>27394</v>
      </c>
      <c r="J22" s="150">
        <v>221</v>
      </c>
      <c r="K22" s="152">
        <v>23599</v>
      </c>
      <c r="L22" s="150">
        <v>2431</v>
      </c>
      <c r="M22" s="152">
        <v>1114793</v>
      </c>
      <c r="N22" s="74" t="s">
        <v>74</v>
      </c>
    </row>
    <row r="23" spans="1:14" s="72" customFormat="1" ht="22.5" customHeight="1">
      <c r="A23" s="73" t="s">
        <v>75</v>
      </c>
      <c r="B23" s="150">
        <f>_xlfn.COMPOUNDVALUE(57)</f>
        <v>769</v>
      </c>
      <c r="C23" s="151">
        <v>507955</v>
      </c>
      <c r="D23" s="150">
        <f>_xlfn.COMPOUNDVALUE(58)</f>
        <v>1582</v>
      </c>
      <c r="E23" s="151">
        <v>600842</v>
      </c>
      <c r="F23" s="150">
        <f>_xlfn.COMPOUNDVALUE(59)</f>
        <v>2351</v>
      </c>
      <c r="G23" s="151">
        <v>1108797</v>
      </c>
      <c r="H23" s="150">
        <f>_xlfn.COMPOUNDVALUE(60)</f>
        <v>50</v>
      </c>
      <c r="I23" s="152">
        <v>33994</v>
      </c>
      <c r="J23" s="150">
        <v>140</v>
      </c>
      <c r="K23" s="152">
        <v>16407</v>
      </c>
      <c r="L23" s="150">
        <v>2437</v>
      </c>
      <c r="M23" s="152">
        <v>1091210</v>
      </c>
      <c r="N23" s="74" t="s">
        <v>76</v>
      </c>
    </row>
    <row r="24" spans="1:14" s="72" customFormat="1" ht="22.5" customHeight="1">
      <c r="A24" s="73" t="s">
        <v>77</v>
      </c>
      <c r="B24" s="150">
        <f>_xlfn.COMPOUNDVALUE(61)</f>
        <v>1443</v>
      </c>
      <c r="C24" s="151">
        <v>1014062</v>
      </c>
      <c r="D24" s="150">
        <f>_xlfn.COMPOUNDVALUE(62)</f>
        <v>2673</v>
      </c>
      <c r="E24" s="151">
        <v>1174994</v>
      </c>
      <c r="F24" s="150">
        <f>_xlfn.COMPOUNDVALUE(63)</f>
        <v>4116</v>
      </c>
      <c r="G24" s="151">
        <v>2189056</v>
      </c>
      <c r="H24" s="150">
        <f>_xlfn.COMPOUNDVALUE(64)</f>
        <v>85</v>
      </c>
      <c r="I24" s="152">
        <v>64693</v>
      </c>
      <c r="J24" s="150">
        <v>370</v>
      </c>
      <c r="K24" s="152">
        <v>60030</v>
      </c>
      <c r="L24" s="150">
        <v>4360</v>
      </c>
      <c r="M24" s="152">
        <v>2184393</v>
      </c>
      <c r="N24" s="74" t="s">
        <v>78</v>
      </c>
    </row>
    <row r="25" spans="1:14" s="72" customFormat="1" ht="23.25" customHeight="1">
      <c r="A25" s="73" t="s">
        <v>79</v>
      </c>
      <c r="B25" s="150">
        <f>_xlfn.COMPOUNDVALUE(65)</f>
        <v>911</v>
      </c>
      <c r="C25" s="151">
        <v>564267</v>
      </c>
      <c r="D25" s="150">
        <f>_xlfn.COMPOUNDVALUE(66)</f>
        <v>1738</v>
      </c>
      <c r="E25" s="151">
        <v>672392</v>
      </c>
      <c r="F25" s="150">
        <f>_xlfn.COMPOUNDVALUE(67)</f>
        <v>2649</v>
      </c>
      <c r="G25" s="151">
        <v>1236659</v>
      </c>
      <c r="H25" s="150">
        <f>_xlfn.COMPOUNDVALUE(68)</f>
        <v>61</v>
      </c>
      <c r="I25" s="152">
        <v>88243</v>
      </c>
      <c r="J25" s="150">
        <v>156</v>
      </c>
      <c r="K25" s="152">
        <v>31536</v>
      </c>
      <c r="L25" s="150">
        <v>2759</v>
      </c>
      <c r="M25" s="152">
        <v>1179952</v>
      </c>
      <c r="N25" s="74" t="s">
        <v>80</v>
      </c>
    </row>
    <row r="26" spans="1:14" s="72" customFormat="1" ht="22.5" customHeight="1">
      <c r="A26" s="73" t="s">
        <v>81</v>
      </c>
      <c r="B26" s="150">
        <f>_xlfn.COMPOUNDVALUE(69)</f>
        <v>747</v>
      </c>
      <c r="C26" s="151">
        <v>513010</v>
      </c>
      <c r="D26" s="150">
        <f>_xlfn.COMPOUNDVALUE(70)</f>
        <v>1496</v>
      </c>
      <c r="E26" s="151">
        <v>587883</v>
      </c>
      <c r="F26" s="150">
        <f>_xlfn.COMPOUNDVALUE(71)</f>
        <v>2243</v>
      </c>
      <c r="G26" s="151">
        <v>1100893</v>
      </c>
      <c r="H26" s="150">
        <f>_xlfn.COMPOUNDVALUE(72)</f>
        <v>50</v>
      </c>
      <c r="I26" s="152">
        <v>22264</v>
      </c>
      <c r="J26" s="150">
        <v>122</v>
      </c>
      <c r="K26" s="152">
        <v>16063</v>
      </c>
      <c r="L26" s="150">
        <v>2320</v>
      </c>
      <c r="M26" s="152">
        <v>1094692</v>
      </c>
      <c r="N26" s="74" t="s">
        <v>82</v>
      </c>
    </row>
    <row r="27" spans="1:14" s="72" customFormat="1" ht="22.5" customHeight="1">
      <c r="A27" s="73" t="s">
        <v>83</v>
      </c>
      <c r="B27" s="150">
        <f>_xlfn.COMPOUNDVALUE(73)</f>
        <v>984</v>
      </c>
      <c r="C27" s="151">
        <v>651945</v>
      </c>
      <c r="D27" s="150">
        <f>_xlfn.COMPOUNDVALUE(74)</f>
        <v>1857</v>
      </c>
      <c r="E27" s="151">
        <v>750265</v>
      </c>
      <c r="F27" s="150">
        <f>_xlfn.COMPOUNDVALUE(75)</f>
        <v>2841</v>
      </c>
      <c r="G27" s="151">
        <v>1402209</v>
      </c>
      <c r="H27" s="150">
        <f>_xlfn.COMPOUNDVALUE(76)</f>
        <v>66</v>
      </c>
      <c r="I27" s="152">
        <v>29736</v>
      </c>
      <c r="J27" s="150">
        <v>173</v>
      </c>
      <c r="K27" s="152">
        <v>12518</v>
      </c>
      <c r="L27" s="150">
        <v>2937</v>
      </c>
      <c r="M27" s="152">
        <v>1384991</v>
      </c>
      <c r="N27" s="74" t="s">
        <v>84</v>
      </c>
    </row>
    <row r="28" spans="1:14" s="72" customFormat="1" ht="22.5" customHeight="1">
      <c r="A28" s="172" t="s">
        <v>85</v>
      </c>
      <c r="B28" s="173">
        <f>_xlfn.COMPOUNDVALUE(77)</f>
        <v>346</v>
      </c>
      <c r="C28" s="174">
        <v>201411</v>
      </c>
      <c r="D28" s="173">
        <f>_xlfn.COMPOUNDVALUE(78)</f>
        <v>606</v>
      </c>
      <c r="E28" s="174">
        <v>224013</v>
      </c>
      <c r="F28" s="173">
        <f>_xlfn.COMPOUNDVALUE(79)</f>
        <v>952</v>
      </c>
      <c r="G28" s="174">
        <v>425425</v>
      </c>
      <c r="H28" s="173">
        <f>_xlfn.COMPOUNDVALUE(80)</f>
        <v>20</v>
      </c>
      <c r="I28" s="175">
        <v>14068</v>
      </c>
      <c r="J28" s="173">
        <v>96</v>
      </c>
      <c r="K28" s="175">
        <v>5844</v>
      </c>
      <c r="L28" s="173">
        <v>985</v>
      </c>
      <c r="M28" s="175">
        <v>417200</v>
      </c>
      <c r="N28" s="176" t="s">
        <v>86</v>
      </c>
    </row>
    <row r="29" spans="1:14" s="72" customFormat="1" ht="22.5" customHeight="1">
      <c r="A29" s="177" t="s">
        <v>87</v>
      </c>
      <c r="B29" s="178">
        <v>13470</v>
      </c>
      <c r="C29" s="179">
        <v>8863601</v>
      </c>
      <c r="D29" s="178">
        <v>25400</v>
      </c>
      <c r="E29" s="179">
        <v>10487147</v>
      </c>
      <c r="F29" s="178">
        <v>38870</v>
      </c>
      <c r="G29" s="179">
        <v>19350748</v>
      </c>
      <c r="H29" s="178">
        <v>891</v>
      </c>
      <c r="I29" s="180">
        <v>729530</v>
      </c>
      <c r="J29" s="178">
        <v>2882</v>
      </c>
      <c r="K29" s="180">
        <v>361382</v>
      </c>
      <c r="L29" s="178">
        <v>40584</v>
      </c>
      <c r="M29" s="180">
        <v>18982599</v>
      </c>
      <c r="N29" s="181" t="s">
        <v>88</v>
      </c>
    </row>
    <row r="30" spans="1:14" s="72" customFormat="1" ht="22.5" customHeight="1">
      <c r="A30" s="182"/>
      <c r="B30" s="183"/>
      <c r="C30" s="184"/>
      <c r="D30" s="183"/>
      <c r="E30" s="184"/>
      <c r="F30" s="185"/>
      <c r="G30" s="184"/>
      <c r="H30" s="185"/>
      <c r="I30" s="184"/>
      <c r="J30" s="185"/>
      <c r="K30" s="184"/>
      <c r="L30" s="185"/>
      <c r="M30" s="184"/>
      <c r="N30" s="186"/>
    </row>
    <row r="31" spans="1:14" s="72" customFormat="1" ht="22.5" customHeight="1">
      <c r="A31" s="70" t="s">
        <v>89</v>
      </c>
      <c r="B31" s="147">
        <f>_xlfn.COMPOUNDVALUE(81)</f>
        <v>1318</v>
      </c>
      <c r="C31" s="148">
        <v>1069393</v>
      </c>
      <c r="D31" s="147">
        <f>_xlfn.COMPOUNDVALUE(82)</f>
        <v>1727</v>
      </c>
      <c r="E31" s="148">
        <v>970548</v>
      </c>
      <c r="F31" s="147">
        <f>_xlfn.COMPOUNDVALUE(83)</f>
        <v>3045</v>
      </c>
      <c r="G31" s="148">
        <v>2039941</v>
      </c>
      <c r="H31" s="147">
        <f>_xlfn.COMPOUNDVALUE(84)</f>
        <v>123</v>
      </c>
      <c r="I31" s="149">
        <v>63734</v>
      </c>
      <c r="J31" s="147">
        <v>324</v>
      </c>
      <c r="K31" s="149">
        <v>50895</v>
      </c>
      <c r="L31" s="147">
        <v>3255</v>
      </c>
      <c r="M31" s="149">
        <v>2027103</v>
      </c>
      <c r="N31" s="71" t="s">
        <v>90</v>
      </c>
    </row>
    <row r="32" spans="1:14" s="72" customFormat="1" ht="22.5" customHeight="1">
      <c r="A32" s="70" t="s">
        <v>91</v>
      </c>
      <c r="B32" s="147">
        <f>_xlfn.COMPOUNDVALUE(85)</f>
        <v>476</v>
      </c>
      <c r="C32" s="148">
        <v>413797</v>
      </c>
      <c r="D32" s="147">
        <f>_xlfn.COMPOUNDVALUE(86)</f>
        <v>528</v>
      </c>
      <c r="E32" s="148">
        <v>303890</v>
      </c>
      <c r="F32" s="147">
        <f>_xlfn.COMPOUNDVALUE(87)</f>
        <v>1004</v>
      </c>
      <c r="G32" s="148">
        <v>717687</v>
      </c>
      <c r="H32" s="147">
        <f>_xlfn.COMPOUNDVALUE(88)</f>
        <v>60</v>
      </c>
      <c r="I32" s="149">
        <v>32545</v>
      </c>
      <c r="J32" s="147">
        <v>97</v>
      </c>
      <c r="K32" s="149">
        <v>26418</v>
      </c>
      <c r="L32" s="147">
        <v>1097</v>
      </c>
      <c r="M32" s="149">
        <v>711560</v>
      </c>
      <c r="N32" s="71" t="s">
        <v>92</v>
      </c>
    </row>
    <row r="33" spans="1:14" s="72" customFormat="1" ht="22.5" customHeight="1">
      <c r="A33" s="70" t="s">
        <v>93</v>
      </c>
      <c r="B33" s="147">
        <f>_xlfn.COMPOUNDVALUE(89)</f>
        <v>1239</v>
      </c>
      <c r="C33" s="148">
        <v>721560</v>
      </c>
      <c r="D33" s="147">
        <f>_xlfn.COMPOUNDVALUE(90)</f>
        <v>1529</v>
      </c>
      <c r="E33" s="148">
        <v>665449</v>
      </c>
      <c r="F33" s="147">
        <f>_xlfn.COMPOUNDVALUE(91)</f>
        <v>2768</v>
      </c>
      <c r="G33" s="148">
        <v>1387009</v>
      </c>
      <c r="H33" s="147">
        <f>_xlfn.COMPOUNDVALUE(92)</f>
        <v>89</v>
      </c>
      <c r="I33" s="149">
        <v>56927</v>
      </c>
      <c r="J33" s="147">
        <v>260</v>
      </c>
      <c r="K33" s="149">
        <v>37824</v>
      </c>
      <c r="L33" s="147">
        <v>2970</v>
      </c>
      <c r="M33" s="149">
        <v>1367906</v>
      </c>
      <c r="N33" s="71" t="s">
        <v>94</v>
      </c>
    </row>
    <row r="34" spans="1:14" s="72" customFormat="1" ht="22.5" customHeight="1">
      <c r="A34" s="70" t="s">
        <v>95</v>
      </c>
      <c r="B34" s="147">
        <f>_xlfn.COMPOUNDVALUE(93)</f>
        <v>1285</v>
      </c>
      <c r="C34" s="148">
        <v>693369</v>
      </c>
      <c r="D34" s="147">
        <f>_xlfn.COMPOUNDVALUE(94)</f>
        <v>1610</v>
      </c>
      <c r="E34" s="148">
        <v>704835</v>
      </c>
      <c r="F34" s="147">
        <f>_xlfn.COMPOUNDVALUE(95)</f>
        <v>2895</v>
      </c>
      <c r="G34" s="148">
        <v>1398203</v>
      </c>
      <c r="H34" s="147">
        <f>_xlfn.COMPOUNDVALUE(96)</f>
        <v>86</v>
      </c>
      <c r="I34" s="149">
        <v>48815</v>
      </c>
      <c r="J34" s="147">
        <v>263</v>
      </c>
      <c r="K34" s="149">
        <v>51708</v>
      </c>
      <c r="L34" s="147">
        <v>3101</v>
      </c>
      <c r="M34" s="149">
        <v>1401096</v>
      </c>
      <c r="N34" s="71" t="s">
        <v>96</v>
      </c>
    </row>
    <row r="35" spans="1:14" s="72" customFormat="1" ht="22.5" customHeight="1">
      <c r="A35" s="70" t="s">
        <v>97</v>
      </c>
      <c r="B35" s="147">
        <f>_xlfn.COMPOUNDVALUE(97)</f>
        <v>656</v>
      </c>
      <c r="C35" s="148">
        <v>416506</v>
      </c>
      <c r="D35" s="147">
        <f>_xlfn.COMPOUNDVALUE(98)</f>
        <v>797</v>
      </c>
      <c r="E35" s="148">
        <v>373689</v>
      </c>
      <c r="F35" s="147">
        <f>_xlfn.COMPOUNDVALUE(99)</f>
        <v>1453</v>
      </c>
      <c r="G35" s="148">
        <v>790195</v>
      </c>
      <c r="H35" s="147">
        <f>_xlfn.COMPOUNDVALUE(100)</f>
        <v>42</v>
      </c>
      <c r="I35" s="149">
        <v>34877</v>
      </c>
      <c r="J35" s="147">
        <v>150</v>
      </c>
      <c r="K35" s="149">
        <v>37577</v>
      </c>
      <c r="L35" s="147">
        <v>1541</v>
      </c>
      <c r="M35" s="149">
        <v>792894</v>
      </c>
      <c r="N35" s="71" t="s">
        <v>98</v>
      </c>
    </row>
    <row r="36" spans="1:14" s="72" customFormat="1" ht="22.5" customHeight="1">
      <c r="A36" s="70" t="s">
        <v>99</v>
      </c>
      <c r="B36" s="147">
        <f>_xlfn.COMPOUNDVALUE(101)</f>
        <v>1040</v>
      </c>
      <c r="C36" s="148">
        <v>1069198</v>
      </c>
      <c r="D36" s="147">
        <f>_xlfn.COMPOUNDVALUE(102)</f>
        <v>981</v>
      </c>
      <c r="E36" s="148">
        <v>567396</v>
      </c>
      <c r="F36" s="147">
        <f>_xlfn.COMPOUNDVALUE(103)</f>
        <v>2021</v>
      </c>
      <c r="G36" s="148">
        <v>1636593</v>
      </c>
      <c r="H36" s="147">
        <f>_xlfn.COMPOUNDVALUE(104)</f>
        <v>77</v>
      </c>
      <c r="I36" s="149">
        <v>42506</v>
      </c>
      <c r="J36" s="147">
        <v>363</v>
      </c>
      <c r="K36" s="149">
        <v>54857</v>
      </c>
      <c r="L36" s="147">
        <v>2204</v>
      </c>
      <c r="M36" s="149">
        <v>1648945</v>
      </c>
      <c r="N36" s="71" t="s">
        <v>100</v>
      </c>
    </row>
    <row r="37" spans="1:14" s="72" customFormat="1" ht="22.5" customHeight="1">
      <c r="A37" s="70" t="s">
        <v>101</v>
      </c>
      <c r="B37" s="147">
        <f>_xlfn.COMPOUNDVALUE(105)</f>
        <v>1972</v>
      </c>
      <c r="C37" s="148">
        <v>1514945</v>
      </c>
      <c r="D37" s="147">
        <f>_xlfn.COMPOUNDVALUE(106)</f>
        <v>2809</v>
      </c>
      <c r="E37" s="148">
        <v>1404794</v>
      </c>
      <c r="F37" s="147">
        <f>_xlfn.COMPOUNDVALUE(107)</f>
        <v>4781</v>
      </c>
      <c r="G37" s="148">
        <v>2919739</v>
      </c>
      <c r="H37" s="147">
        <f>_xlfn.COMPOUNDVALUE(108)</f>
        <v>180</v>
      </c>
      <c r="I37" s="149">
        <v>242222</v>
      </c>
      <c r="J37" s="147">
        <v>422</v>
      </c>
      <c r="K37" s="149">
        <v>57868</v>
      </c>
      <c r="L37" s="147">
        <v>5107</v>
      </c>
      <c r="M37" s="149">
        <v>2735384</v>
      </c>
      <c r="N37" s="71" t="s">
        <v>102</v>
      </c>
    </row>
    <row r="38" spans="1:14" s="72" customFormat="1" ht="22.5" customHeight="1">
      <c r="A38" s="70" t="s">
        <v>103</v>
      </c>
      <c r="B38" s="147">
        <f>_xlfn.COMPOUNDVALUE(109)</f>
        <v>1681</v>
      </c>
      <c r="C38" s="148">
        <v>1059487</v>
      </c>
      <c r="D38" s="147">
        <f>_xlfn.COMPOUNDVALUE(110)</f>
        <v>2218</v>
      </c>
      <c r="E38" s="148">
        <v>1030405</v>
      </c>
      <c r="F38" s="147">
        <f>_xlfn.COMPOUNDVALUE(111)</f>
        <v>3899</v>
      </c>
      <c r="G38" s="148">
        <v>2089892</v>
      </c>
      <c r="H38" s="147">
        <f>_xlfn.COMPOUNDVALUE(112)</f>
        <v>112</v>
      </c>
      <c r="I38" s="149">
        <v>110496</v>
      </c>
      <c r="J38" s="147">
        <v>339</v>
      </c>
      <c r="K38" s="149">
        <v>50765</v>
      </c>
      <c r="L38" s="147">
        <v>4137</v>
      </c>
      <c r="M38" s="149">
        <v>2030161</v>
      </c>
      <c r="N38" s="71" t="s">
        <v>104</v>
      </c>
    </row>
    <row r="39" spans="1:14" s="72" customFormat="1" ht="22.5" customHeight="1">
      <c r="A39" s="70" t="s">
        <v>105</v>
      </c>
      <c r="B39" s="147">
        <f>_xlfn.COMPOUNDVALUE(113)</f>
        <v>1309</v>
      </c>
      <c r="C39" s="148">
        <v>767226</v>
      </c>
      <c r="D39" s="147">
        <f>_xlfn.COMPOUNDVALUE(114)</f>
        <v>1783</v>
      </c>
      <c r="E39" s="148">
        <v>756302</v>
      </c>
      <c r="F39" s="147">
        <f>_xlfn.COMPOUNDVALUE(115)</f>
        <v>3092</v>
      </c>
      <c r="G39" s="148">
        <v>1523528</v>
      </c>
      <c r="H39" s="147">
        <f>_xlfn.COMPOUNDVALUE(116)</f>
        <v>163</v>
      </c>
      <c r="I39" s="149">
        <v>124742</v>
      </c>
      <c r="J39" s="147">
        <v>257</v>
      </c>
      <c r="K39" s="149">
        <v>42921</v>
      </c>
      <c r="L39" s="147">
        <v>3394</v>
      </c>
      <c r="M39" s="149">
        <v>1441706</v>
      </c>
      <c r="N39" s="71" t="s">
        <v>106</v>
      </c>
    </row>
    <row r="40" spans="1:14" s="72" customFormat="1" ht="22.5" customHeight="1">
      <c r="A40" s="70" t="s">
        <v>107</v>
      </c>
      <c r="B40" s="147">
        <f>_xlfn.COMPOUNDVALUE(117)</f>
        <v>3029</v>
      </c>
      <c r="C40" s="148">
        <v>2394683</v>
      </c>
      <c r="D40" s="147">
        <f>_xlfn.COMPOUNDVALUE(118)</f>
        <v>6808</v>
      </c>
      <c r="E40" s="148">
        <v>2862792</v>
      </c>
      <c r="F40" s="147">
        <f>_xlfn.COMPOUNDVALUE(119)</f>
        <v>9837</v>
      </c>
      <c r="G40" s="148">
        <v>5257476</v>
      </c>
      <c r="H40" s="147">
        <f>_xlfn.COMPOUNDVALUE(120)</f>
        <v>232</v>
      </c>
      <c r="I40" s="149">
        <v>193957</v>
      </c>
      <c r="J40" s="147">
        <v>494</v>
      </c>
      <c r="K40" s="149">
        <v>73734</v>
      </c>
      <c r="L40" s="147">
        <v>10203</v>
      </c>
      <c r="M40" s="149">
        <v>5137253</v>
      </c>
      <c r="N40" s="71" t="s">
        <v>108</v>
      </c>
    </row>
    <row r="41" spans="1:14" s="72" customFormat="1" ht="22.5" customHeight="1">
      <c r="A41" s="70" t="s">
        <v>109</v>
      </c>
      <c r="B41" s="147">
        <f>_xlfn.COMPOUNDVALUE(121)</f>
        <v>1428</v>
      </c>
      <c r="C41" s="148">
        <v>1024536</v>
      </c>
      <c r="D41" s="147">
        <f>_xlfn.COMPOUNDVALUE(122)</f>
        <v>2174</v>
      </c>
      <c r="E41" s="148">
        <v>947669</v>
      </c>
      <c r="F41" s="147">
        <f>_xlfn.COMPOUNDVALUE(123)</f>
        <v>3602</v>
      </c>
      <c r="G41" s="148">
        <v>1972205</v>
      </c>
      <c r="H41" s="147">
        <f>_xlfn.COMPOUNDVALUE(124)</f>
        <v>93</v>
      </c>
      <c r="I41" s="149">
        <v>72965</v>
      </c>
      <c r="J41" s="147">
        <v>271</v>
      </c>
      <c r="K41" s="149">
        <v>40333</v>
      </c>
      <c r="L41" s="147">
        <v>3765</v>
      </c>
      <c r="M41" s="149">
        <v>1939572</v>
      </c>
      <c r="N41" s="71" t="s">
        <v>110</v>
      </c>
    </row>
    <row r="42" spans="1:14" s="72" customFormat="1" ht="22.5" customHeight="1">
      <c r="A42" s="70" t="s">
        <v>111</v>
      </c>
      <c r="B42" s="147">
        <f>_xlfn.COMPOUNDVALUE(125)</f>
        <v>1833</v>
      </c>
      <c r="C42" s="148">
        <v>1042792</v>
      </c>
      <c r="D42" s="147">
        <f>_xlfn.COMPOUNDVALUE(126)</f>
        <v>2584</v>
      </c>
      <c r="E42" s="148">
        <v>1065681</v>
      </c>
      <c r="F42" s="147">
        <f>_xlfn.COMPOUNDVALUE(127)</f>
        <v>4417</v>
      </c>
      <c r="G42" s="148">
        <v>2108473</v>
      </c>
      <c r="H42" s="147">
        <f>_xlfn.COMPOUNDVALUE(128)</f>
        <v>130</v>
      </c>
      <c r="I42" s="149">
        <v>56884</v>
      </c>
      <c r="J42" s="147">
        <v>345</v>
      </c>
      <c r="K42" s="149">
        <v>50540</v>
      </c>
      <c r="L42" s="147">
        <v>4668</v>
      </c>
      <c r="M42" s="149">
        <v>2102129</v>
      </c>
      <c r="N42" s="71" t="s">
        <v>112</v>
      </c>
    </row>
    <row r="43" spans="1:14" s="72" customFormat="1" ht="22.5" customHeight="1">
      <c r="A43" s="70" t="s">
        <v>113</v>
      </c>
      <c r="B43" s="147">
        <f>_xlfn.COMPOUNDVALUE(129)</f>
        <v>738</v>
      </c>
      <c r="C43" s="148">
        <v>423500</v>
      </c>
      <c r="D43" s="147">
        <f>_xlfn.COMPOUNDVALUE(130)</f>
        <v>1058</v>
      </c>
      <c r="E43" s="148">
        <v>427047</v>
      </c>
      <c r="F43" s="147">
        <f>_xlfn.COMPOUNDVALUE(131)</f>
        <v>1796</v>
      </c>
      <c r="G43" s="148">
        <v>850546</v>
      </c>
      <c r="H43" s="147">
        <f>_xlfn.COMPOUNDVALUE(132)</f>
        <v>46</v>
      </c>
      <c r="I43" s="149">
        <v>16654</v>
      </c>
      <c r="J43" s="147">
        <v>176</v>
      </c>
      <c r="K43" s="149">
        <v>30732</v>
      </c>
      <c r="L43" s="147">
        <v>1913</v>
      </c>
      <c r="M43" s="149">
        <v>864624</v>
      </c>
      <c r="N43" s="71" t="s">
        <v>114</v>
      </c>
    </row>
    <row r="44" spans="1:14" s="72" customFormat="1" ht="22.5" customHeight="1">
      <c r="A44" s="73" t="s">
        <v>115</v>
      </c>
      <c r="B44" s="150">
        <f>_xlfn.COMPOUNDVALUE(133)</f>
        <v>2289</v>
      </c>
      <c r="C44" s="151">
        <v>1730402</v>
      </c>
      <c r="D44" s="150">
        <f>_xlfn.COMPOUNDVALUE(134)</f>
        <v>3520</v>
      </c>
      <c r="E44" s="151">
        <v>1433775</v>
      </c>
      <c r="F44" s="150">
        <f>_xlfn.COMPOUNDVALUE(135)</f>
        <v>5809</v>
      </c>
      <c r="G44" s="151">
        <v>3164177</v>
      </c>
      <c r="H44" s="150">
        <f>_xlfn.COMPOUNDVALUE(136)</f>
        <v>147</v>
      </c>
      <c r="I44" s="152">
        <v>78093</v>
      </c>
      <c r="J44" s="150">
        <v>381</v>
      </c>
      <c r="K44" s="152">
        <v>59463</v>
      </c>
      <c r="L44" s="150">
        <v>6071</v>
      </c>
      <c r="M44" s="152">
        <v>3145547</v>
      </c>
      <c r="N44" s="74" t="s">
        <v>116</v>
      </c>
    </row>
    <row r="45" spans="1:14" s="72" customFormat="1" ht="22.5" customHeight="1">
      <c r="A45" s="73" t="s">
        <v>117</v>
      </c>
      <c r="B45" s="150">
        <f>_xlfn.COMPOUNDVALUE(137)</f>
        <v>1364</v>
      </c>
      <c r="C45" s="151">
        <v>830294</v>
      </c>
      <c r="D45" s="150">
        <f>_xlfn.COMPOUNDVALUE(138)</f>
        <v>2078</v>
      </c>
      <c r="E45" s="151">
        <v>836281</v>
      </c>
      <c r="F45" s="150">
        <f>_xlfn.COMPOUNDVALUE(139)</f>
        <v>3442</v>
      </c>
      <c r="G45" s="151">
        <v>1666576</v>
      </c>
      <c r="H45" s="150">
        <f>_xlfn.COMPOUNDVALUE(140)</f>
        <v>85</v>
      </c>
      <c r="I45" s="152">
        <v>91659</v>
      </c>
      <c r="J45" s="150">
        <v>396</v>
      </c>
      <c r="K45" s="152">
        <v>59946</v>
      </c>
      <c r="L45" s="150">
        <v>3676</v>
      </c>
      <c r="M45" s="152">
        <v>1634862</v>
      </c>
      <c r="N45" s="74" t="s">
        <v>118</v>
      </c>
    </row>
    <row r="46" spans="1:14" s="72" customFormat="1" ht="22.5" customHeight="1">
      <c r="A46" s="73" t="s">
        <v>119</v>
      </c>
      <c r="B46" s="150">
        <f>_xlfn.COMPOUNDVALUE(141)</f>
        <v>1811</v>
      </c>
      <c r="C46" s="151">
        <v>1343620</v>
      </c>
      <c r="D46" s="150">
        <f>_xlfn.COMPOUNDVALUE(142)</f>
        <v>2685</v>
      </c>
      <c r="E46" s="151">
        <v>1172008</v>
      </c>
      <c r="F46" s="150">
        <f>_xlfn.COMPOUNDVALUE(143)</f>
        <v>4496</v>
      </c>
      <c r="G46" s="151">
        <v>2515628</v>
      </c>
      <c r="H46" s="150">
        <f>_xlfn.COMPOUNDVALUE(144)</f>
        <v>108</v>
      </c>
      <c r="I46" s="152">
        <v>110114</v>
      </c>
      <c r="J46" s="150">
        <v>402</v>
      </c>
      <c r="K46" s="152">
        <v>58972</v>
      </c>
      <c r="L46" s="150">
        <v>4747</v>
      </c>
      <c r="M46" s="152">
        <v>2464487</v>
      </c>
      <c r="N46" s="74" t="s">
        <v>120</v>
      </c>
    </row>
    <row r="47" spans="1:14" s="72" customFormat="1" ht="22.5" customHeight="1">
      <c r="A47" s="73" t="s">
        <v>121</v>
      </c>
      <c r="B47" s="150">
        <f>_xlfn.COMPOUNDVALUE(145)</f>
        <v>1293</v>
      </c>
      <c r="C47" s="151">
        <v>834283</v>
      </c>
      <c r="D47" s="150">
        <f>_xlfn.COMPOUNDVALUE(146)</f>
        <v>1838</v>
      </c>
      <c r="E47" s="151">
        <v>797047</v>
      </c>
      <c r="F47" s="150">
        <f>_xlfn.COMPOUNDVALUE(147)</f>
        <v>3131</v>
      </c>
      <c r="G47" s="151">
        <v>1631330</v>
      </c>
      <c r="H47" s="150">
        <f>_xlfn.COMPOUNDVALUE(148)</f>
        <v>84</v>
      </c>
      <c r="I47" s="152">
        <v>59009</v>
      </c>
      <c r="J47" s="150">
        <v>243</v>
      </c>
      <c r="K47" s="152">
        <v>39867</v>
      </c>
      <c r="L47" s="150">
        <v>3307</v>
      </c>
      <c r="M47" s="152">
        <v>1612188</v>
      </c>
      <c r="N47" s="74" t="s">
        <v>122</v>
      </c>
    </row>
    <row r="48" spans="1:14" s="72" customFormat="1" ht="22.5" customHeight="1">
      <c r="A48" s="73" t="s">
        <v>123</v>
      </c>
      <c r="B48" s="150">
        <f>_xlfn.COMPOUNDVALUE(149)</f>
        <v>862</v>
      </c>
      <c r="C48" s="151">
        <v>945594</v>
      </c>
      <c r="D48" s="150">
        <f>_xlfn.COMPOUNDVALUE(150)</f>
        <v>1559</v>
      </c>
      <c r="E48" s="151">
        <v>629586</v>
      </c>
      <c r="F48" s="150">
        <f>_xlfn.COMPOUNDVALUE(151)</f>
        <v>2421</v>
      </c>
      <c r="G48" s="151">
        <v>1575180</v>
      </c>
      <c r="H48" s="150">
        <f>_xlfn.COMPOUNDVALUE(152)</f>
        <v>70</v>
      </c>
      <c r="I48" s="152">
        <v>40964</v>
      </c>
      <c r="J48" s="150">
        <v>174</v>
      </c>
      <c r="K48" s="152">
        <v>14997</v>
      </c>
      <c r="L48" s="150">
        <v>2519</v>
      </c>
      <c r="M48" s="152">
        <v>1549213</v>
      </c>
      <c r="N48" s="74" t="s">
        <v>124</v>
      </c>
    </row>
    <row r="49" spans="1:14" s="72" customFormat="1" ht="22.5" customHeight="1">
      <c r="A49" s="73" t="s">
        <v>125</v>
      </c>
      <c r="B49" s="150">
        <f>_xlfn.COMPOUNDVALUE(153)</f>
        <v>2166</v>
      </c>
      <c r="C49" s="151">
        <v>1214049</v>
      </c>
      <c r="D49" s="150">
        <f>_xlfn.COMPOUNDVALUE(154)</f>
        <v>2964</v>
      </c>
      <c r="E49" s="151">
        <v>1284856</v>
      </c>
      <c r="F49" s="150">
        <f>_xlfn.COMPOUNDVALUE(155)</f>
        <v>5130</v>
      </c>
      <c r="G49" s="151">
        <v>2498905</v>
      </c>
      <c r="H49" s="150">
        <f>_xlfn.COMPOUNDVALUE(156)</f>
        <v>156</v>
      </c>
      <c r="I49" s="152">
        <v>120206</v>
      </c>
      <c r="J49" s="150">
        <v>518</v>
      </c>
      <c r="K49" s="152">
        <v>96231</v>
      </c>
      <c r="L49" s="150">
        <v>5468</v>
      </c>
      <c r="M49" s="152">
        <v>2474930</v>
      </c>
      <c r="N49" s="74" t="s">
        <v>126</v>
      </c>
    </row>
    <row r="50" spans="1:14" s="72" customFormat="1" ht="22.5" customHeight="1">
      <c r="A50" s="172" t="s">
        <v>127</v>
      </c>
      <c r="B50" s="173">
        <f>_xlfn.COMPOUNDVALUE(157)</f>
        <v>221</v>
      </c>
      <c r="C50" s="174">
        <v>128304</v>
      </c>
      <c r="D50" s="173">
        <f>_xlfn.COMPOUNDVALUE(158)</f>
        <v>386</v>
      </c>
      <c r="E50" s="174">
        <v>141619</v>
      </c>
      <c r="F50" s="173">
        <f>_xlfn.COMPOUNDVALUE(159)</f>
        <v>607</v>
      </c>
      <c r="G50" s="174">
        <v>269923</v>
      </c>
      <c r="H50" s="173">
        <f>_xlfn.COMPOUNDVALUE(160)</f>
        <v>14</v>
      </c>
      <c r="I50" s="175">
        <v>7360</v>
      </c>
      <c r="J50" s="173">
        <v>58</v>
      </c>
      <c r="K50" s="175">
        <v>7677</v>
      </c>
      <c r="L50" s="173">
        <v>636</v>
      </c>
      <c r="M50" s="175">
        <v>270240</v>
      </c>
      <c r="N50" s="176" t="s">
        <v>128</v>
      </c>
    </row>
    <row r="51" spans="1:14" s="72" customFormat="1" ht="22.5" customHeight="1">
      <c r="A51" s="177" t="s">
        <v>129</v>
      </c>
      <c r="B51" s="178">
        <v>28010</v>
      </c>
      <c r="C51" s="179">
        <v>19637537</v>
      </c>
      <c r="D51" s="178">
        <v>41636</v>
      </c>
      <c r="E51" s="179">
        <v>18375667</v>
      </c>
      <c r="F51" s="178">
        <v>69646</v>
      </c>
      <c r="G51" s="179">
        <v>38013204</v>
      </c>
      <c r="H51" s="178">
        <v>2097</v>
      </c>
      <c r="I51" s="180">
        <v>1604729</v>
      </c>
      <c r="J51" s="178">
        <v>5933</v>
      </c>
      <c r="K51" s="180">
        <v>943326</v>
      </c>
      <c r="L51" s="178">
        <v>73779</v>
      </c>
      <c r="M51" s="180">
        <v>37351801</v>
      </c>
      <c r="N51" s="181" t="s">
        <v>130</v>
      </c>
    </row>
    <row r="52" spans="1:14" s="72" customFormat="1" ht="22.5" customHeight="1">
      <c r="A52" s="182"/>
      <c r="B52" s="183"/>
      <c r="C52" s="184"/>
      <c r="D52" s="183"/>
      <c r="E52" s="184"/>
      <c r="F52" s="185"/>
      <c r="G52" s="184"/>
      <c r="H52" s="185"/>
      <c r="I52" s="184"/>
      <c r="J52" s="185"/>
      <c r="K52" s="184"/>
      <c r="L52" s="185"/>
      <c r="M52" s="184"/>
      <c r="N52" s="186"/>
    </row>
    <row r="53" spans="1:14" s="72" customFormat="1" ht="22.5" customHeight="1">
      <c r="A53" s="70" t="s">
        <v>131</v>
      </c>
      <c r="B53" s="147">
        <f>_xlfn.COMPOUNDVALUE(161)</f>
        <v>1053</v>
      </c>
      <c r="C53" s="148">
        <v>732685</v>
      </c>
      <c r="D53" s="147">
        <f>_xlfn.COMPOUNDVALUE(162)</f>
        <v>1372</v>
      </c>
      <c r="E53" s="148">
        <v>601161</v>
      </c>
      <c r="F53" s="147">
        <f>_xlfn.COMPOUNDVALUE(163)</f>
        <v>2425</v>
      </c>
      <c r="G53" s="148">
        <v>1333846</v>
      </c>
      <c r="H53" s="147">
        <f>_xlfn.COMPOUNDVALUE(164)</f>
        <v>69</v>
      </c>
      <c r="I53" s="149">
        <v>98299</v>
      </c>
      <c r="J53" s="147">
        <v>298</v>
      </c>
      <c r="K53" s="149">
        <v>52802</v>
      </c>
      <c r="L53" s="147">
        <v>2593</v>
      </c>
      <c r="M53" s="149">
        <v>1288349</v>
      </c>
      <c r="N53" s="71" t="s">
        <v>132</v>
      </c>
    </row>
    <row r="54" spans="1:14" s="72" customFormat="1" ht="22.5" customHeight="1">
      <c r="A54" s="73" t="s">
        <v>133</v>
      </c>
      <c r="B54" s="150">
        <f>_xlfn.COMPOUNDVALUE(165)</f>
        <v>1544</v>
      </c>
      <c r="C54" s="151">
        <v>1073911</v>
      </c>
      <c r="D54" s="150">
        <f>_xlfn.COMPOUNDVALUE(166)</f>
        <v>1983</v>
      </c>
      <c r="E54" s="151">
        <v>909901</v>
      </c>
      <c r="F54" s="150">
        <f>_xlfn.COMPOUNDVALUE(167)</f>
        <v>3527</v>
      </c>
      <c r="G54" s="151">
        <v>1983812</v>
      </c>
      <c r="H54" s="150">
        <f>_xlfn.COMPOUNDVALUE(168)</f>
        <v>114</v>
      </c>
      <c r="I54" s="152">
        <v>155581</v>
      </c>
      <c r="J54" s="150">
        <v>296</v>
      </c>
      <c r="K54" s="152">
        <v>60673</v>
      </c>
      <c r="L54" s="150">
        <v>3750</v>
      </c>
      <c r="M54" s="152">
        <v>1888903</v>
      </c>
      <c r="N54" s="74" t="s">
        <v>134</v>
      </c>
    </row>
    <row r="55" spans="1:14" s="72" customFormat="1" ht="22.5" customHeight="1">
      <c r="A55" s="73" t="s">
        <v>135</v>
      </c>
      <c r="B55" s="150">
        <f>_xlfn.COMPOUNDVALUE(169)</f>
        <v>1322</v>
      </c>
      <c r="C55" s="151">
        <v>944290</v>
      </c>
      <c r="D55" s="150">
        <f>_xlfn.COMPOUNDVALUE(170)</f>
        <v>1665</v>
      </c>
      <c r="E55" s="151">
        <v>654935</v>
      </c>
      <c r="F55" s="150">
        <f>_xlfn.COMPOUNDVALUE(171)</f>
        <v>2987</v>
      </c>
      <c r="G55" s="151">
        <v>1599225</v>
      </c>
      <c r="H55" s="150">
        <f>_xlfn.COMPOUNDVALUE(172)</f>
        <v>91</v>
      </c>
      <c r="I55" s="152">
        <v>41649</v>
      </c>
      <c r="J55" s="150">
        <v>184</v>
      </c>
      <c r="K55" s="152">
        <v>32617</v>
      </c>
      <c r="L55" s="150">
        <v>3125</v>
      </c>
      <c r="M55" s="152">
        <v>1590193</v>
      </c>
      <c r="N55" s="74" t="s">
        <v>136</v>
      </c>
    </row>
    <row r="56" spans="1:14" s="72" customFormat="1" ht="22.5" customHeight="1">
      <c r="A56" s="73" t="s">
        <v>137</v>
      </c>
      <c r="B56" s="150">
        <f>_xlfn.COMPOUNDVALUE(173)</f>
        <v>996</v>
      </c>
      <c r="C56" s="151">
        <v>624357</v>
      </c>
      <c r="D56" s="150">
        <f>_xlfn.COMPOUNDVALUE(174)</f>
        <v>1178</v>
      </c>
      <c r="E56" s="151">
        <v>498737</v>
      </c>
      <c r="F56" s="150">
        <f>_xlfn.COMPOUNDVALUE(175)</f>
        <v>2174</v>
      </c>
      <c r="G56" s="151">
        <v>1123093</v>
      </c>
      <c r="H56" s="150">
        <f>_xlfn.COMPOUNDVALUE(176)</f>
        <v>71</v>
      </c>
      <c r="I56" s="152">
        <v>103283</v>
      </c>
      <c r="J56" s="150">
        <v>177</v>
      </c>
      <c r="K56" s="152">
        <v>22533</v>
      </c>
      <c r="L56" s="150">
        <v>2300</v>
      </c>
      <c r="M56" s="152">
        <v>1042343</v>
      </c>
      <c r="N56" s="74" t="s">
        <v>138</v>
      </c>
    </row>
    <row r="57" spans="1:14" s="72" customFormat="1" ht="22.5" customHeight="1">
      <c r="A57" s="73" t="s">
        <v>139</v>
      </c>
      <c r="B57" s="150">
        <f>_xlfn.COMPOUNDVALUE(177)</f>
        <v>787</v>
      </c>
      <c r="C57" s="151">
        <v>497314</v>
      </c>
      <c r="D57" s="150">
        <f>_xlfn.COMPOUNDVALUE(178)</f>
        <v>1095</v>
      </c>
      <c r="E57" s="151">
        <v>457960</v>
      </c>
      <c r="F57" s="150">
        <f>_xlfn.COMPOUNDVALUE(179)</f>
        <v>1882</v>
      </c>
      <c r="G57" s="151">
        <v>955274</v>
      </c>
      <c r="H57" s="150">
        <f>_xlfn.COMPOUNDVALUE(180)</f>
        <v>65</v>
      </c>
      <c r="I57" s="152">
        <v>108990</v>
      </c>
      <c r="J57" s="150">
        <v>162</v>
      </c>
      <c r="K57" s="152">
        <v>19538</v>
      </c>
      <c r="L57" s="150">
        <v>1977</v>
      </c>
      <c r="M57" s="152">
        <v>865821</v>
      </c>
      <c r="N57" s="74" t="s">
        <v>140</v>
      </c>
    </row>
    <row r="58" spans="1:14" s="72" customFormat="1" ht="22.5" customHeight="1">
      <c r="A58" s="73" t="s">
        <v>141</v>
      </c>
      <c r="B58" s="150">
        <f>_xlfn.COMPOUNDVALUE(181)</f>
        <v>651</v>
      </c>
      <c r="C58" s="151">
        <v>407022</v>
      </c>
      <c r="D58" s="150">
        <f>_xlfn.COMPOUNDVALUE(182)</f>
        <v>695</v>
      </c>
      <c r="E58" s="151">
        <v>270379</v>
      </c>
      <c r="F58" s="150">
        <f>_xlfn.COMPOUNDVALUE(183)</f>
        <v>1346</v>
      </c>
      <c r="G58" s="151">
        <v>677401</v>
      </c>
      <c r="H58" s="150">
        <f>_xlfn.COMPOUNDVALUE(184)</f>
        <v>61</v>
      </c>
      <c r="I58" s="152">
        <v>44350</v>
      </c>
      <c r="J58" s="150">
        <v>140</v>
      </c>
      <c r="K58" s="152">
        <v>28990</v>
      </c>
      <c r="L58" s="150">
        <v>1435</v>
      </c>
      <c r="M58" s="152">
        <v>662041</v>
      </c>
      <c r="N58" s="74" t="s">
        <v>142</v>
      </c>
    </row>
    <row r="59" spans="1:14" s="72" customFormat="1" ht="22.5" customHeight="1">
      <c r="A59" s="73" t="s">
        <v>143</v>
      </c>
      <c r="B59" s="150">
        <f>_xlfn.COMPOUNDVALUE(185)</f>
        <v>994</v>
      </c>
      <c r="C59" s="151">
        <v>697454</v>
      </c>
      <c r="D59" s="150">
        <f>_xlfn.COMPOUNDVALUE(186)</f>
        <v>1364</v>
      </c>
      <c r="E59" s="151">
        <v>602810</v>
      </c>
      <c r="F59" s="150">
        <f>_xlfn.COMPOUNDVALUE(187)</f>
        <v>2358</v>
      </c>
      <c r="G59" s="151">
        <v>1300264</v>
      </c>
      <c r="H59" s="150">
        <f>_xlfn.COMPOUNDVALUE(188)</f>
        <v>78</v>
      </c>
      <c r="I59" s="152">
        <v>76084</v>
      </c>
      <c r="J59" s="150">
        <v>125</v>
      </c>
      <c r="K59" s="152">
        <v>23825</v>
      </c>
      <c r="L59" s="150">
        <v>2477</v>
      </c>
      <c r="M59" s="152">
        <v>1248006</v>
      </c>
      <c r="N59" s="74" t="s">
        <v>144</v>
      </c>
    </row>
    <row r="60" spans="1:14" s="72" customFormat="1" ht="22.5" customHeight="1">
      <c r="A60" s="172" t="s">
        <v>145</v>
      </c>
      <c r="B60" s="173">
        <f>_xlfn.COMPOUNDVALUE(189)</f>
        <v>478</v>
      </c>
      <c r="C60" s="174">
        <v>413123</v>
      </c>
      <c r="D60" s="173">
        <f>_xlfn.COMPOUNDVALUE(190)</f>
        <v>609</v>
      </c>
      <c r="E60" s="174">
        <v>233019</v>
      </c>
      <c r="F60" s="173">
        <f>_xlfn.COMPOUNDVALUE(191)</f>
        <v>1087</v>
      </c>
      <c r="G60" s="174">
        <v>646142</v>
      </c>
      <c r="H60" s="173">
        <f>_xlfn.COMPOUNDVALUE(192)</f>
        <v>14</v>
      </c>
      <c r="I60" s="175">
        <v>2181</v>
      </c>
      <c r="J60" s="173">
        <v>114</v>
      </c>
      <c r="K60" s="175">
        <v>11325</v>
      </c>
      <c r="L60" s="173">
        <v>1125</v>
      </c>
      <c r="M60" s="175">
        <v>655286</v>
      </c>
      <c r="N60" s="176" t="s">
        <v>146</v>
      </c>
    </row>
    <row r="61" spans="1:14" s="72" customFormat="1" ht="22.5" customHeight="1">
      <c r="A61" s="177" t="s">
        <v>147</v>
      </c>
      <c r="B61" s="178">
        <v>7825</v>
      </c>
      <c r="C61" s="179">
        <v>5390155</v>
      </c>
      <c r="D61" s="178">
        <v>9961</v>
      </c>
      <c r="E61" s="179">
        <v>4228903</v>
      </c>
      <c r="F61" s="178">
        <v>17786</v>
      </c>
      <c r="G61" s="179">
        <v>9619058</v>
      </c>
      <c r="H61" s="178">
        <v>563</v>
      </c>
      <c r="I61" s="180">
        <v>630418</v>
      </c>
      <c r="J61" s="178">
        <v>1496</v>
      </c>
      <c r="K61" s="180">
        <v>252302</v>
      </c>
      <c r="L61" s="178">
        <v>18782</v>
      </c>
      <c r="M61" s="180">
        <v>9240942</v>
      </c>
      <c r="N61" s="181" t="s">
        <v>148</v>
      </c>
    </row>
    <row r="62" spans="1:14" s="72" customFormat="1" ht="22.5" customHeight="1" thickBot="1">
      <c r="A62" s="75"/>
      <c r="B62" s="187"/>
      <c r="C62" s="188"/>
      <c r="D62" s="187"/>
      <c r="E62" s="188"/>
      <c r="F62" s="189"/>
      <c r="G62" s="188"/>
      <c r="H62" s="189"/>
      <c r="I62" s="188"/>
      <c r="J62" s="189"/>
      <c r="K62" s="188"/>
      <c r="L62" s="189"/>
      <c r="M62" s="188"/>
      <c r="N62" s="76"/>
    </row>
    <row r="63" spans="1:14" s="72" customFormat="1" ht="22.5" customHeight="1" thickBot="1" thickTop="1">
      <c r="A63" s="77" t="s">
        <v>42</v>
      </c>
      <c r="B63" s="157">
        <v>58238</v>
      </c>
      <c r="C63" s="158">
        <v>39240385</v>
      </c>
      <c r="D63" s="157">
        <v>89652</v>
      </c>
      <c r="E63" s="158">
        <v>38244543</v>
      </c>
      <c r="F63" s="157">
        <v>147890</v>
      </c>
      <c r="G63" s="158">
        <v>77484928</v>
      </c>
      <c r="H63" s="157">
        <v>4155</v>
      </c>
      <c r="I63" s="159">
        <v>3360593</v>
      </c>
      <c r="J63" s="157">
        <v>11963</v>
      </c>
      <c r="K63" s="159">
        <v>1794563</v>
      </c>
      <c r="L63" s="157">
        <v>155813</v>
      </c>
      <c r="M63" s="159">
        <v>75918898</v>
      </c>
      <c r="N63" s="78" t="s">
        <v>43</v>
      </c>
    </row>
    <row r="64" spans="1:14" s="110" customFormat="1" ht="3" customHeight="1">
      <c r="A64" s="108"/>
      <c r="B64" s="109"/>
      <c r="C64" s="109"/>
      <c r="D64" s="109"/>
      <c r="E64" s="109"/>
      <c r="F64" s="109"/>
      <c r="G64" s="109"/>
      <c r="H64" s="109"/>
      <c r="I64" s="109"/>
      <c r="J64" s="109"/>
      <c r="K64" s="109"/>
      <c r="L64" s="109"/>
      <c r="M64" s="109"/>
      <c r="N64" s="108"/>
    </row>
    <row r="65" spans="1:14" ht="22.5" customHeight="1">
      <c r="A65" s="260" t="s">
        <v>225</v>
      </c>
      <c r="B65" s="260"/>
      <c r="C65" s="260"/>
      <c r="D65" s="260"/>
      <c r="E65" s="260"/>
      <c r="F65" s="260"/>
      <c r="G65" s="260"/>
      <c r="H65" s="260"/>
      <c r="I65" s="260"/>
      <c r="J65" s="60"/>
      <c r="K65" s="60"/>
      <c r="L65" s="61"/>
      <c r="M65" s="61"/>
      <c r="N65" s="61"/>
    </row>
  </sheetData>
  <sheetProtection/>
  <mergeCells count="11">
    <mergeCell ref="N3:N5"/>
    <mergeCell ref="B4:C4"/>
    <mergeCell ref="D4:E4"/>
    <mergeCell ref="F4:G4"/>
    <mergeCell ref="A65:I65"/>
    <mergeCell ref="A2:G2"/>
    <mergeCell ref="A3:A5"/>
    <mergeCell ref="B3:G3"/>
    <mergeCell ref="H3:I4"/>
    <mergeCell ref="J3:K4"/>
    <mergeCell ref="L3:M4"/>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&amp;R名古屋国税局 消費税（H29）</oddFooter>
  </headerFooter>
</worksheet>
</file>

<file path=xl/worksheets/sheet5.xml><?xml version="1.0" encoding="utf-8"?>
<worksheet xmlns="http://schemas.openxmlformats.org/spreadsheetml/2006/main" xmlns:r="http://schemas.openxmlformats.org/officeDocument/2006/relationships">
  <dimension ref="A1:N65"/>
  <sheetViews>
    <sheetView showGridLines="0" zoomScale="85" zoomScaleNormal="85" zoomScaleSheetLayoutView="100" workbookViewId="0" topLeftCell="A1">
      <selection activeCell="A1" sqref="A1"/>
    </sheetView>
  </sheetViews>
  <sheetFormatPr defaultColWidth="9.00390625" defaultRowHeight="13.5"/>
  <cols>
    <col min="1" max="1" width="11.375" style="146" customWidth="1"/>
    <col min="2" max="2" width="11.25390625" style="146" customWidth="1"/>
    <col min="3" max="3" width="12.625" style="146" customWidth="1"/>
    <col min="4" max="4" width="11.25390625" style="146" customWidth="1"/>
    <col min="5" max="5" width="12.625" style="146" customWidth="1"/>
    <col min="6" max="6" width="11.25390625" style="146" customWidth="1"/>
    <col min="7" max="7" width="12.625" style="146" customWidth="1"/>
    <col min="8" max="8" width="11.25390625" style="146" customWidth="1"/>
    <col min="9" max="9" width="12.625" style="146" customWidth="1"/>
    <col min="10" max="10" width="11.25390625" style="146" customWidth="1"/>
    <col min="11" max="11" width="12.625" style="146" customWidth="1"/>
    <col min="12" max="12" width="11.25390625" style="146" customWidth="1"/>
    <col min="13" max="13" width="12.625" style="146" customWidth="1"/>
    <col min="14" max="14" width="11.375" style="146" customWidth="1"/>
    <col min="15" max="16384" width="9.00390625" style="146" customWidth="1"/>
  </cols>
  <sheetData>
    <row r="1" spans="1:14" ht="13.5">
      <c r="A1" s="60" t="s">
        <v>230</v>
      </c>
      <c r="B1" s="60"/>
      <c r="C1" s="60"/>
      <c r="D1" s="60"/>
      <c r="E1" s="60"/>
      <c r="F1" s="60"/>
      <c r="G1" s="60"/>
      <c r="H1" s="60"/>
      <c r="I1" s="60"/>
      <c r="J1" s="60"/>
      <c r="K1" s="60"/>
      <c r="L1" s="61"/>
      <c r="M1" s="61"/>
      <c r="N1" s="79"/>
    </row>
    <row r="2" spans="1:14" ht="14.25" thickBot="1">
      <c r="A2" s="280" t="s">
        <v>149</v>
      </c>
      <c r="B2" s="280"/>
      <c r="C2" s="280"/>
      <c r="D2" s="280"/>
      <c r="E2" s="280"/>
      <c r="F2" s="280"/>
      <c r="G2" s="280"/>
      <c r="H2" s="280"/>
      <c r="I2" s="280"/>
      <c r="J2" s="60"/>
      <c r="K2" s="60"/>
      <c r="L2" s="61"/>
      <c r="M2" s="61"/>
      <c r="N2" s="79"/>
    </row>
    <row r="3" spans="1:14" ht="22.5" customHeight="1">
      <c r="A3" s="261" t="s">
        <v>154</v>
      </c>
      <c r="B3" s="264" t="s">
        <v>155</v>
      </c>
      <c r="C3" s="264"/>
      <c r="D3" s="264"/>
      <c r="E3" s="264"/>
      <c r="F3" s="264"/>
      <c r="G3" s="264"/>
      <c r="H3" s="265" t="s">
        <v>13</v>
      </c>
      <c r="I3" s="266"/>
      <c r="J3" s="269" t="s">
        <v>37</v>
      </c>
      <c r="K3" s="266"/>
      <c r="L3" s="270" t="s">
        <v>38</v>
      </c>
      <c r="M3" s="271"/>
      <c r="N3" s="274" t="s">
        <v>150</v>
      </c>
    </row>
    <row r="4" spans="1:14" ht="18.75" customHeight="1">
      <c r="A4" s="262"/>
      <c r="B4" s="267" t="s">
        <v>18</v>
      </c>
      <c r="C4" s="278"/>
      <c r="D4" s="267" t="s">
        <v>40</v>
      </c>
      <c r="E4" s="278"/>
      <c r="F4" s="272" t="s">
        <v>41</v>
      </c>
      <c r="G4" s="279"/>
      <c r="H4" s="267"/>
      <c r="I4" s="268"/>
      <c r="J4" s="267"/>
      <c r="K4" s="268"/>
      <c r="L4" s="272"/>
      <c r="M4" s="273"/>
      <c r="N4" s="275"/>
    </row>
    <row r="5" spans="1:14" ht="33.75" customHeight="1">
      <c r="A5" s="263"/>
      <c r="B5" s="167" t="s">
        <v>223</v>
      </c>
      <c r="C5" s="62" t="s">
        <v>156</v>
      </c>
      <c r="D5" s="167" t="s">
        <v>223</v>
      </c>
      <c r="E5" s="62" t="s">
        <v>156</v>
      </c>
      <c r="F5" s="167" t="s">
        <v>223</v>
      </c>
      <c r="G5" s="63" t="s">
        <v>220</v>
      </c>
      <c r="H5" s="167" t="s">
        <v>223</v>
      </c>
      <c r="I5" s="63" t="s">
        <v>221</v>
      </c>
      <c r="J5" s="167" t="s">
        <v>223</v>
      </c>
      <c r="K5" s="63" t="s">
        <v>222</v>
      </c>
      <c r="L5" s="167" t="s">
        <v>223</v>
      </c>
      <c r="M5" s="63" t="s">
        <v>157</v>
      </c>
      <c r="N5" s="276"/>
    </row>
    <row r="6" spans="1:14" s="80" customFormat="1" ht="10.5">
      <c r="A6" s="64"/>
      <c r="B6" s="65" t="s">
        <v>4</v>
      </c>
      <c r="C6" s="66" t="s">
        <v>5</v>
      </c>
      <c r="D6" s="65" t="s">
        <v>4</v>
      </c>
      <c r="E6" s="66" t="s">
        <v>5</v>
      </c>
      <c r="F6" s="65" t="s">
        <v>4</v>
      </c>
      <c r="G6" s="66" t="s">
        <v>5</v>
      </c>
      <c r="H6" s="65" t="s">
        <v>4</v>
      </c>
      <c r="I6" s="67" t="s">
        <v>5</v>
      </c>
      <c r="J6" s="65" t="s">
        <v>4</v>
      </c>
      <c r="K6" s="67" t="s">
        <v>5</v>
      </c>
      <c r="L6" s="65" t="s">
        <v>228</v>
      </c>
      <c r="M6" s="67" t="s">
        <v>5</v>
      </c>
      <c r="N6" s="68"/>
    </row>
    <row r="7" spans="1:14" ht="22.5" customHeight="1">
      <c r="A7" s="70" t="s">
        <v>158</v>
      </c>
      <c r="B7" s="147">
        <f>_xlfn.COMPOUNDVALUE(193)</f>
        <v>4588</v>
      </c>
      <c r="C7" s="148">
        <v>32295632</v>
      </c>
      <c r="D7" s="147">
        <f>_xlfn.COMPOUNDVALUE(194)</f>
        <v>1738</v>
      </c>
      <c r="E7" s="148">
        <v>1013395</v>
      </c>
      <c r="F7" s="147">
        <f>_xlfn.COMPOUNDVALUE(195)</f>
        <v>6326</v>
      </c>
      <c r="G7" s="148">
        <v>33309027</v>
      </c>
      <c r="H7" s="147">
        <f>_xlfn.COMPOUNDVALUE(196)</f>
        <v>336</v>
      </c>
      <c r="I7" s="149">
        <v>1379233</v>
      </c>
      <c r="J7" s="147">
        <v>495</v>
      </c>
      <c r="K7" s="149">
        <v>197491</v>
      </c>
      <c r="L7" s="147">
        <v>6709</v>
      </c>
      <c r="M7" s="149">
        <v>32127284</v>
      </c>
      <c r="N7" s="71" t="s">
        <v>46</v>
      </c>
    </row>
    <row r="8" spans="1:14" ht="22.5" customHeight="1">
      <c r="A8" s="73" t="s">
        <v>168</v>
      </c>
      <c r="B8" s="150">
        <f>_xlfn.COMPOUNDVALUE(197)</f>
        <v>4367</v>
      </c>
      <c r="C8" s="151">
        <v>36494380</v>
      </c>
      <c r="D8" s="150">
        <f>_xlfn.COMPOUNDVALUE(198)</f>
        <v>1526</v>
      </c>
      <c r="E8" s="151">
        <v>925796</v>
      </c>
      <c r="F8" s="150">
        <f>_xlfn.COMPOUNDVALUE(199)</f>
        <v>5893</v>
      </c>
      <c r="G8" s="151">
        <v>37420175</v>
      </c>
      <c r="H8" s="150">
        <f>_xlfn.COMPOUNDVALUE(200)</f>
        <v>286</v>
      </c>
      <c r="I8" s="152">
        <v>952341</v>
      </c>
      <c r="J8" s="150">
        <v>453</v>
      </c>
      <c r="K8" s="152">
        <v>66120</v>
      </c>
      <c r="L8" s="150">
        <v>6208</v>
      </c>
      <c r="M8" s="152">
        <v>36533954</v>
      </c>
      <c r="N8" s="74" t="s">
        <v>48</v>
      </c>
    </row>
    <row r="9" spans="1:14" ht="22.5" customHeight="1">
      <c r="A9" s="73" t="s">
        <v>169</v>
      </c>
      <c r="B9" s="150">
        <f>_xlfn.COMPOUNDVALUE(201)</f>
        <v>3481</v>
      </c>
      <c r="C9" s="151">
        <v>36967936</v>
      </c>
      <c r="D9" s="150">
        <f>_xlfn.COMPOUNDVALUE(202)</f>
        <v>1222</v>
      </c>
      <c r="E9" s="151">
        <v>716708</v>
      </c>
      <c r="F9" s="150">
        <f>_xlfn.COMPOUNDVALUE(203)</f>
        <v>4703</v>
      </c>
      <c r="G9" s="151">
        <v>37684644</v>
      </c>
      <c r="H9" s="150">
        <f>_xlfn.COMPOUNDVALUE(204)</f>
        <v>295</v>
      </c>
      <c r="I9" s="152">
        <v>5418773</v>
      </c>
      <c r="J9" s="150">
        <v>288</v>
      </c>
      <c r="K9" s="152">
        <v>116945</v>
      </c>
      <c r="L9" s="150">
        <v>5024</v>
      </c>
      <c r="M9" s="152">
        <v>32382816</v>
      </c>
      <c r="N9" s="74" t="s">
        <v>50</v>
      </c>
    </row>
    <row r="10" spans="1:14" ht="22.5" customHeight="1">
      <c r="A10" s="73" t="s">
        <v>170</v>
      </c>
      <c r="B10" s="150">
        <f>_xlfn.COMPOUNDVALUE(205)</f>
        <v>1964</v>
      </c>
      <c r="C10" s="151">
        <v>10458738</v>
      </c>
      <c r="D10" s="150">
        <f>_xlfn.COMPOUNDVALUE(206)</f>
        <v>795</v>
      </c>
      <c r="E10" s="151">
        <v>438384</v>
      </c>
      <c r="F10" s="150">
        <f>_xlfn.COMPOUNDVALUE(207)</f>
        <v>2759</v>
      </c>
      <c r="G10" s="151">
        <v>10897122</v>
      </c>
      <c r="H10" s="150">
        <f>_xlfn.COMPOUNDVALUE(208)</f>
        <v>113</v>
      </c>
      <c r="I10" s="152">
        <v>434311</v>
      </c>
      <c r="J10" s="150">
        <v>270</v>
      </c>
      <c r="K10" s="152">
        <v>18781</v>
      </c>
      <c r="L10" s="150">
        <v>2894</v>
      </c>
      <c r="M10" s="152">
        <v>10481592</v>
      </c>
      <c r="N10" s="74" t="s">
        <v>52</v>
      </c>
    </row>
    <row r="11" spans="1:14" ht="22.5" customHeight="1">
      <c r="A11" s="73" t="s">
        <v>171</v>
      </c>
      <c r="B11" s="150">
        <f>_xlfn.COMPOUNDVALUE(209)</f>
        <v>2943</v>
      </c>
      <c r="C11" s="151">
        <v>21279193</v>
      </c>
      <c r="D11" s="150">
        <f>_xlfn.COMPOUNDVALUE(210)</f>
        <v>1337</v>
      </c>
      <c r="E11" s="151">
        <v>723357</v>
      </c>
      <c r="F11" s="150">
        <f>_xlfn.COMPOUNDVALUE(211)</f>
        <v>4280</v>
      </c>
      <c r="G11" s="151">
        <v>22002549</v>
      </c>
      <c r="H11" s="150">
        <f>_xlfn.COMPOUNDVALUE(212)</f>
        <v>211</v>
      </c>
      <c r="I11" s="152">
        <v>420980</v>
      </c>
      <c r="J11" s="150">
        <v>312</v>
      </c>
      <c r="K11" s="152">
        <v>39485</v>
      </c>
      <c r="L11" s="150">
        <v>4520</v>
      </c>
      <c r="M11" s="152">
        <v>21621054</v>
      </c>
      <c r="N11" s="74" t="s">
        <v>54</v>
      </c>
    </row>
    <row r="12" spans="1:14" ht="22.5" customHeight="1">
      <c r="A12" s="73" t="s">
        <v>172</v>
      </c>
      <c r="B12" s="150">
        <f>_xlfn.COMPOUNDVALUE(213)</f>
        <v>2779</v>
      </c>
      <c r="C12" s="151">
        <v>17984227</v>
      </c>
      <c r="D12" s="150">
        <f>_xlfn.COMPOUNDVALUE(214)</f>
        <v>1027</v>
      </c>
      <c r="E12" s="151">
        <v>604854</v>
      </c>
      <c r="F12" s="150">
        <f>_xlfn.COMPOUNDVALUE(215)</f>
        <v>3806</v>
      </c>
      <c r="G12" s="151">
        <v>18589081</v>
      </c>
      <c r="H12" s="150">
        <f>_xlfn.COMPOUNDVALUE(216)</f>
        <v>191</v>
      </c>
      <c r="I12" s="152">
        <v>903209</v>
      </c>
      <c r="J12" s="150">
        <v>284</v>
      </c>
      <c r="K12" s="152">
        <v>43107</v>
      </c>
      <c r="L12" s="150">
        <v>4017</v>
      </c>
      <c r="M12" s="152">
        <v>17728979</v>
      </c>
      <c r="N12" s="74" t="s">
        <v>56</v>
      </c>
    </row>
    <row r="13" spans="1:14" ht="22.5" customHeight="1">
      <c r="A13" s="172" t="s">
        <v>173</v>
      </c>
      <c r="B13" s="173">
        <f>_xlfn.COMPOUNDVALUE(217)</f>
        <v>1193</v>
      </c>
      <c r="C13" s="174">
        <v>9820368</v>
      </c>
      <c r="D13" s="173">
        <f>_xlfn.COMPOUNDVALUE(218)</f>
        <v>499</v>
      </c>
      <c r="E13" s="174">
        <v>279153</v>
      </c>
      <c r="F13" s="173">
        <f>_xlfn.COMPOUNDVALUE(219)</f>
        <v>1692</v>
      </c>
      <c r="G13" s="174">
        <v>10099520</v>
      </c>
      <c r="H13" s="173">
        <f>_xlfn.COMPOUNDVALUE(220)</f>
        <v>58</v>
      </c>
      <c r="I13" s="175">
        <v>230679</v>
      </c>
      <c r="J13" s="173">
        <v>122</v>
      </c>
      <c r="K13" s="175">
        <v>33654</v>
      </c>
      <c r="L13" s="173">
        <v>1760</v>
      </c>
      <c r="M13" s="175">
        <v>9902496</v>
      </c>
      <c r="N13" s="176" t="s">
        <v>58</v>
      </c>
    </row>
    <row r="14" spans="1:14" ht="22.5" customHeight="1">
      <c r="A14" s="177" t="s">
        <v>174</v>
      </c>
      <c r="B14" s="178">
        <v>21315</v>
      </c>
      <c r="C14" s="179">
        <v>165300473</v>
      </c>
      <c r="D14" s="178">
        <v>8144</v>
      </c>
      <c r="E14" s="179">
        <v>4701646</v>
      </c>
      <c r="F14" s="178">
        <v>29459</v>
      </c>
      <c r="G14" s="179">
        <v>170002119</v>
      </c>
      <c r="H14" s="178">
        <v>1490</v>
      </c>
      <c r="I14" s="180">
        <v>9739526</v>
      </c>
      <c r="J14" s="178">
        <v>2224</v>
      </c>
      <c r="K14" s="180">
        <v>515582</v>
      </c>
      <c r="L14" s="178">
        <v>31132</v>
      </c>
      <c r="M14" s="180">
        <v>160778175</v>
      </c>
      <c r="N14" s="181" t="s">
        <v>60</v>
      </c>
    </row>
    <row r="15" spans="1:14" ht="22.5" customHeight="1">
      <c r="A15" s="182"/>
      <c r="B15" s="183"/>
      <c r="C15" s="184"/>
      <c r="D15" s="183"/>
      <c r="E15" s="184"/>
      <c r="F15" s="185"/>
      <c r="G15" s="184"/>
      <c r="H15" s="185"/>
      <c r="I15" s="184"/>
      <c r="J15" s="185"/>
      <c r="K15" s="184"/>
      <c r="L15" s="185"/>
      <c r="M15" s="184"/>
      <c r="N15" s="186"/>
    </row>
    <row r="16" spans="1:14" ht="22.5" customHeight="1">
      <c r="A16" s="70" t="s">
        <v>175</v>
      </c>
      <c r="B16" s="147">
        <f>_xlfn.COMPOUNDVALUE(221)</f>
        <v>5326</v>
      </c>
      <c r="C16" s="148">
        <v>51305383</v>
      </c>
      <c r="D16" s="147">
        <f>_xlfn.COMPOUNDVALUE(222)</f>
        <v>2231</v>
      </c>
      <c r="E16" s="148">
        <v>1367219</v>
      </c>
      <c r="F16" s="147">
        <f>_xlfn.COMPOUNDVALUE(223)</f>
        <v>7557</v>
      </c>
      <c r="G16" s="148">
        <v>52672602</v>
      </c>
      <c r="H16" s="147">
        <f>_xlfn.COMPOUNDVALUE(224)</f>
        <v>363</v>
      </c>
      <c r="I16" s="149">
        <v>2711791</v>
      </c>
      <c r="J16" s="147">
        <v>584</v>
      </c>
      <c r="K16" s="149">
        <v>114831</v>
      </c>
      <c r="L16" s="147">
        <v>7982</v>
      </c>
      <c r="M16" s="149">
        <v>50075642</v>
      </c>
      <c r="N16" s="71" t="s">
        <v>62</v>
      </c>
    </row>
    <row r="17" spans="1:14" ht="22.5" customHeight="1">
      <c r="A17" s="70" t="s">
        <v>176</v>
      </c>
      <c r="B17" s="147">
        <f>_xlfn.COMPOUNDVALUE(225)</f>
        <v>2368</v>
      </c>
      <c r="C17" s="148">
        <v>20114357</v>
      </c>
      <c r="D17" s="147">
        <f>_xlfn.COMPOUNDVALUE(226)</f>
        <v>942</v>
      </c>
      <c r="E17" s="148">
        <v>553630</v>
      </c>
      <c r="F17" s="147">
        <f>_xlfn.COMPOUNDVALUE(227)</f>
        <v>3310</v>
      </c>
      <c r="G17" s="148">
        <v>20667986</v>
      </c>
      <c r="H17" s="147">
        <f>_xlfn.COMPOUNDVALUE(228)</f>
        <v>213</v>
      </c>
      <c r="I17" s="149">
        <v>1498678</v>
      </c>
      <c r="J17" s="147">
        <v>292</v>
      </c>
      <c r="K17" s="149">
        <v>-1089</v>
      </c>
      <c r="L17" s="147">
        <v>3543</v>
      </c>
      <c r="M17" s="149">
        <v>19168220</v>
      </c>
      <c r="N17" s="71" t="s">
        <v>64</v>
      </c>
    </row>
    <row r="18" spans="1:14" ht="22.5" customHeight="1">
      <c r="A18" s="70" t="s">
        <v>177</v>
      </c>
      <c r="B18" s="147">
        <f>_xlfn.COMPOUNDVALUE(229)</f>
        <v>5207</v>
      </c>
      <c r="C18" s="148">
        <v>41992008</v>
      </c>
      <c r="D18" s="147">
        <f>_xlfn.COMPOUNDVALUE(230)</f>
        <v>2384</v>
      </c>
      <c r="E18" s="148">
        <v>1439211</v>
      </c>
      <c r="F18" s="147">
        <f>_xlfn.COMPOUNDVALUE(231)</f>
        <v>7591</v>
      </c>
      <c r="G18" s="148">
        <v>43431219</v>
      </c>
      <c r="H18" s="147">
        <f>_xlfn.COMPOUNDVALUE(232)</f>
        <v>463</v>
      </c>
      <c r="I18" s="149">
        <v>6208345</v>
      </c>
      <c r="J18" s="147">
        <v>600</v>
      </c>
      <c r="K18" s="149">
        <v>80617</v>
      </c>
      <c r="L18" s="147">
        <v>8082</v>
      </c>
      <c r="M18" s="149">
        <v>37303491</v>
      </c>
      <c r="N18" s="71" t="s">
        <v>66</v>
      </c>
    </row>
    <row r="19" spans="1:14" ht="22.5" customHeight="1">
      <c r="A19" s="70" t="s">
        <v>178</v>
      </c>
      <c r="B19" s="147">
        <f>_xlfn.COMPOUNDVALUE(233)</f>
        <v>3812</v>
      </c>
      <c r="C19" s="148">
        <v>25504469</v>
      </c>
      <c r="D19" s="147">
        <f>_xlfn.COMPOUNDVALUE(234)</f>
        <v>1624</v>
      </c>
      <c r="E19" s="148">
        <v>924222</v>
      </c>
      <c r="F19" s="147">
        <f>_xlfn.COMPOUNDVALUE(235)</f>
        <v>5436</v>
      </c>
      <c r="G19" s="148">
        <v>26428690</v>
      </c>
      <c r="H19" s="147">
        <f>_xlfn.COMPOUNDVALUE(236)</f>
        <v>267</v>
      </c>
      <c r="I19" s="149">
        <v>18393969</v>
      </c>
      <c r="J19" s="147">
        <v>358</v>
      </c>
      <c r="K19" s="149">
        <v>187143</v>
      </c>
      <c r="L19" s="147">
        <v>5743</v>
      </c>
      <c r="M19" s="149">
        <v>8221864</v>
      </c>
      <c r="N19" s="71" t="s">
        <v>68</v>
      </c>
    </row>
    <row r="20" spans="1:14" ht="22.5" customHeight="1">
      <c r="A20" s="70" t="s">
        <v>179</v>
      </c>
      <c r="B20" s="147">
        <f>_xlfn.COMPOUNDVALUE(237)</f>
        <v>4208</v>
      </c>
      <c r="C20" s="148">
        <v>35077961</v>
      </c>
      <c r="D20" s="147">
        <f>_xlfn.COMPOUNDVALUE(238)</f>
        <v>2018</v>
      </c>
      <c r="E20" s="148">
        <v>1199886</v>
      </c>
      <c r="F20" s="147">
        <f>_xlfn.COMPOUNDVALUE(239)</f>
        <v>6226</v>
      </c>
      <c r="G20" s="148">
        <v>36277846</v>
      </c>
      <c r="H20" s="147">
        <f>_xlfn.COMPOUNDVALUE(240)</f>
        <v>214</v>
      </c>
      <c r="I20" s="149">
        <v>1747059</v>
      </c>
      <c r="J20" s="147">
        <v>285</v>
      </c>
      <c r="K20" s="149">
        <v>40533</v>
      </c>
      <c r="L20" s="147">
        <v>6474</v>
      </c>
      <c r="M20" s="149">
        <v>34571321</v>
      </c>
      <c r="N20" s="71" t="s">
        <v>70</v>
      </c>
    </row>
    <row r="21" spans="1:14" ht="22.5" customHeight="1">
      <c r="A21" s="70" t="s">
        <v>180</v>
      </c>
      <c r="B21" s="147">
        <f>_xlfn.COMPOUNDVALUE(241)</f>
        <v>1255</v>
      </c>
      <c r="C21" s="148">
        <v>5364459</v>
      </c>
      <c r="D21" s="147">
        <f>_xlfn.COMPOUNDVALUE(242)</f>
        <v>674</v>
      </c>
      <c r="E21" s="148">
        <v>366950</v>
      </c>
      <c r="F21" s="147">
        <f>_xlfn.COMPOUNDVALUE(243)</f>
        <v>1929</v>
      </c>
      <c r="G21" s="148">
        <v>5731408</v>
      </c>
      <c r="H21" s="147">
        <f>_xlfn.COMPOUNDVALUE(244)</f>
        <v>75</v>
      </c>
      <c r="I21" s="149">
        <v>199031</v>
      </c>
      <c r="J21" s="147">
        <v>117</v>
      </c>
      <c r="K21" s="149">
        <v>68112</v>
      </c>
      <c r="L21" s="147">
        <v>2041</v>
      </c>
      <c r="M21" s="149">
        <v>5600489</v>
      </c>
      <c r="N21" s="71" t="s">
        <v>72</v>
      </c>
    </row>
    <row r="22" spans="1:14" ht="22.5" customHeight="1">
      <c r="A22" s="73" t="s">
        <v>181</v>
      </c>
      <c r="B22" s="150">
        <f>_xlfn.COMPOUNDVALUE(245)</f>
        <v>1987</v>
      </c>
      <c r="C22" s="151">
        <v>11334010</v>
      </c>
      <c r="D22" s="150">
        <f>_xlfn.COMPOUNDVALUE(246)</f>
        <v>1037</v>
      </c>
      <c r="E22" s="151">
        <v>587194</v>
      </c>
      <c r="F22" s="150">
        <f>_xlfn.COMPOUNDVALUE(247)</f>
        <v>3024</v>
      </c>
      <c r="G22" s="151">
        <v>11921204</v>
      </c>
      <c r="H22" s="150">
        <f>_xlfn.COMPOUNDVALUE(248)</f>
        <v>89</v>
      </c>
      <c r="I22" s="152">
        <v>270355</v>
      </c>
      <c r="J22" s="150">
        <v>229</v>
      </c>
      <c r="K22" s="152">
        <v>12021</v>
      </c>
      <c r="L22" s="150">
        <v>3130</v>
      </c>
      <c r="M22" s="152">
        <v>11662870</v>
      </c>
      <c r="N22" s="74" t="s">
        <v>74</v>
      </c>
    </row>
    <row r="23" spans="1:14" ht="22.5" customHeight="1">
      <c r="A23" s="73" t="s">
        <v>182</v>
      </c>
      <c r="B23" s="150">
        <f>_xlfn.COMPOUNDVALUE(249)</f>
        <v>1736</v>
      </c>
      <c r="C23" s="151">
        <v>12367522</v>
      </c>
      <c r="D23" s="150">
        <f>_xlfn.COMPOUNDVALUE(250)</f>
        <v>605</v>
      </c>
      <c r="E23" s="151">
        <v>350557</v>
      </c>
      <c r="F23" s="150">
        <f>_xlfn.COMPOUNDVALUE(251)</f>
        <v>2341</v>
      </c>
      <c r="G23" s="151">
        <v>12718079</v>
      </c>
      <c r="H23" s="150">
        <f>_xlfn.COMPOUNDVALUE(252)</f>
        <v>89</v>
      </c>
      <c r="I23" s="152">
        <v>1950672</v>
      </c>
      <c r="J23" s="150">
        <v>128</v>
      </c>
      <c r="K23" s="152">
        <v>7818</v>
      </c>
      <c r="L23" s="150">
        <v>2440</v>
      </c>
      <c r="M23" s="152">
        <v>10775225</v>
      </c>
      <c r="N23" s="74" t="s">
        <v>76</v>
      </c>
    </row>
    <row r="24" spans="1:14" ht="22.5" customHeight="1">
      <c r="A24" s="73" t="s">
        <v>183</v>
      </c>
      <c r="B24" s="150">
        <f>_xlfn.COMPOUNDVALUE(253)</f>
        <v>3722</v>
      </c>
      <c r="C24" s="151">
        <v>27354797</v>
      </c>
      <c r="D24" s="150">
        <f>_xlfn.COMPOUNDVALUE(254)</f>
        <v>1485</v>
      </c>
      <c r="E24" s="151">
        <v>879442</v>
      </c>
      <c r="F24" s="150">
        <f>_xlfn.COMPOUNDVALUE(255)</f>
        <v>5207</v>
      </c>
      <c r="G24" s="151">
        <v>28234239</v>
      </c>
      <c r="H24" s="150">
        <f>_xlfn.COMPOUNDVALUE(256)</f>
        <v>209</v>
      </c>
      <c r="I24" s="152">
        <v>5624358</v>
      </c>
      <c r="J24" s="150">
        <v>401</v>
      </c>
      <c r="K24" s="152">
        <v>132185</v>
      </c>
      <c r="L24" s="150">
        <v>5469</v>
      </c>
      <c r="M24" s="152">
        <v>22742067</v>
      </c>
      <c r="N24" s="74" t="s">
        <v>78</v>
      </c>
    </row>
    <row r="25" spans="1:14" ht="22.5" customHeight="1">
      <c r="A25" s="73" t="s">
        <v>184</v>
      </c>
      <c r="B25" s="150">
        <f>_xlfn.COMPOUNDVALUE(257)</f>
        <v>2134</v>
      </c>
      <c r="C25" s="151">
        <v>18043052</v>
      </c>
      <c r="D25" s="150">
        <f>_xlfn.COMPOUNDVALUE(258)</f>
        <v>947</v>
      </c>
      <c r="E25" s="151">
        <v>550213</v>
      </c>
      <c r="F25" s="150">
        <f>_xlfn.COMPOUNDVALUE(259)</f>
        <v>3081</v>
      </c>
      <c r="G25" s="151">
        <v>18593266</v>
      </c>
      <c r="H25" s="150">
        <f>_xlfn.COMPOUNDVALUE(260)</f>
        <v>157</v>
      </c>
      <c r="I25" s="152">
        <v>19265988</v>
      </c>
      <c r="J25" s="150">
        <v>145</v>
      </c>
      <c r="K25" s="152">
        <v>37388</v>
      </c>
      <c r="L25" s="150">
        <v>3246</v>
      </c>
      <c r="M25" s="152">
        <v>-635334</v>
      </c>
      <c r="N25" s="74" t="s">
        <v>80</v>
      </c>
    </row>
    <row r="26" spans="1:14" ht="22.5" customHeight="1">
      <c r="A26" s="73" t="s">
        <v>185</v>
      </c>
      <c r="B26" s="150">
        <f>_xlfn.COMPOUNDVALUE(261)</f>
        <v>1628</v>
      </c>
      <c r="C26" s="151">
        <v>9722434</v>
      </c>
      <c r="D26" s="150">
        <f>_xlfn.COMPOUNDVALUE(262)</f>
        <v>617</v>
      </c>
      <c r="E26" s="151">
        <v>362682</v>
      </c>
      <c r="F26" s="150">
        <f>_xlfn.COMPOUNDVALUE(263)</f>
        <v>2245</v>
      </c>
      <c r="G26" s="151">
        <v>10085116</v>
      </c>
      <c r="H26" s="150">
        <f>_xlfn.COMPOUNDVALUE(264)</f>
        <v>109</v>
      </c>
      <c r="I26" s="152">
        <v>1452753</v>
      </c>
      <c r="J26" s="150">
        <v>116</v>
      </c>
      <c r="K26" s="152">
        <v>13293</v>
      </c>
      <c r="L26" s="150">
        <v>2365</v>
      </c>
      <c r="M26" s="152">
        <v>8645656</v>
      </c>
      <c r="N26" s="74" t="s">
        <v>82</v>
      </c>
    </row>
    <row r="27" spans="1:14" ht="22.5" customHeight="1">
      <c r="A27" s="73" t="s">
        <v>186</v>
      </c>
      <c r="B27" s="150">
        <f>_xlfn.COMPOUNDVALUE(265)</f>
        <v>2512</v>
      </c>
      <c r="C27" s="151">
        <v>16732361</v>
      </c>
      <c r="D27" s="150">
        <f>_xlfn.COMPOUNDVALUE(266)</f>
        <v>884</v>
      </c>
      <c r="E27" s="151">
        <v>529489</v>
      </c>
      <c r="F27" s="150">
        <f>_xlfn.COMPOUNDVALUE(267)</f>
        <v>3396</v>
      </c>
      <c r="G27" s="151">
        <v>17261851</v>
      </c>
      <c r="H27" s="150">
        <f>_xlfn.COMPOUNDVALUE(268)</f>
        <v>191</v>
      </c>
      <c r="I27" s="152">
        <v>740404</v>
      </c>
      <c r="J27" s="150">
        <v>234</v>
      </c>
      <c r="K27" s="152">
        <v>18682</v>
      </c>
      <c r="L27" s="150">
        <v>3600</v>
      </c>
      <c r="M27" s="152">
        <v>16540129</v>
      </c>
      <c r="N27" s="74" t="s">
        <v>84</v>
      </c>
    </row>
    <row r="28" spans="1:14" ht="22.5" customHeight="1">
      <c r="A28" s="172" t="s">
        <v>187</v>
      </c>
      <c r="B28" s="173">
        <f>_xlfn.COMPOUNDVALUE(269)</f>
        <v>681</v>
      </c>
      <c r="C28" s="174">
        <v>2691390</v>
      </c>
      <c r="D28" s="173">
        <f>_xlfn.COMPOUNDVALUE(270)</f>
        <v>299</v>
      </c>
      <c r="E28" s="174">
        <v>158769</v>
      </c>
      <c r="F28" s="173">
        <f>_xlfn.COMPOUNDVALUE(271)</f>
        <v>980</v>
      </c>
      <c r="G28" s="174">
        <v>2850159</v>
      </c>
      <c r="H28" s="173">
        <f>_xlfn.COMPOUNDVALUE(272)</f>
        <v>33</v>
      </c>
      <c r="I28" s="175">
        <v>19780</v>
      </c>
      <c r="J28" s="173">
        <v>74</v>
      </c>
      <c r="K28" s="175">
        <v>8024</v>
      </c>
      <c r="L28" s="173">
        <v>1017</v>
      </c>
      <c r="M28" s="175">
        <v>2838403</v>
      </c>
      <c r="N28" s="176" t="s">
        <v>86</v>
      </c>
    </row>
    <row r="29" spans="1:14" ht="22.5" customHeight="1">
      <c r="A29" s="177" t="s">
        <v>188</v>
      </c>
      <c r="B29" s="178">
        <v>36576</v>
      </c>
      <c r="C29" s="179">
        <v>277604203</v>
      </c>
      <c r="D29" s="178">
        <v>15747</v>
      </c>
      <c r="E29" s="179">
        <v>9269463</v>
      </c>
      <c r="F29" s="178">
        <v>52323</v>
      </c>
      <c r="G29" s="179">
        <v>286873666</v>
      </c>
      <c r="H29" s="178">
        <v>2472</v>
      </c>
      <c r="I29" s="180">
        <v>60083184</v>
      </c>
      <c r="J29" s="178">
        <v>3563</v>
      </c>
      <c r="K29" s="180">
        <v>719559</v>
      </c>
      <c r="L29" s="178">
        <v>55132</v>
      </c>
      <c r="M29" s="180">
        <v>227510041</v>
      </c>
      <c r="N29" s="181" t="s">
        <v>88</v>
      </c>
    </row>
    <row r="30" spans="1:14" ht="22.5" customHeight="1">
      <c r="A30" s="182"/>
      <c r="B30" s="183"/>
      <c r="C30" s="184"/>
      <c r="D30" s="183"/>
      <c r="E30" s="184"/>
      <c r="F30" s="185"/>
      <c r="G30" s="184"/>
      <c r="H30" s="185"/>
      <c r="I30" s="184"/>
      <c r="J30" s="185"/>
      <c r="K30" s="184"/>
      <c r="L30" s="185"/>
      <c r="M30" s="184"/>
      <c r="N30" s="186"/>
    </row>
    <row r="31" spans="1:14" ht="22.5" customHeight="1">
      <c r="A31" s="70" t="s">
        <v>189</v>
      </c>
      <c r="B31" s="147">
        <f>_xlfn.COMPOUNDVALUE(273)</f>
        <v>3438</v>
      </c>
      <c r="C31" s="148">
        <v>27489638</v>
      </c>
      <c r="D31" s="147">
        <f>_xlfn.COMPOUNDVALUE(274)</f>
        <v>1469</v>
      </c>
      <c r="E31" s="148">
        <v>932460</v>
      </c>
      <c r="F31" s="147">
        <f>_xlfn.COMPOUNDVALUE(275)</f>
        <v>4907</v>
      </c>
      <c r="G31" s="148">
        <v>28422098</v>
      </c>
      <c r="H31" s="147">
        <f>_xlfn.COMPOUNDVALUE(276)</f>
        <v>340</v>
      </c>
      <c r="I31" s="149">
        <v>1363565</v>
      </c>
      <c r="J31" s="147">
        <v>355</v>
      </c>
      <c r="K31" s="149">
        <v>69656</v>
      </c>
      <c r="L31" s="147">
        <v>5284</v>
      </c>
      <c r="M31" s="149">
        <v>27128189</v>
      </c>
      <c r="N31" s="71" t="s">
        <v>90</v>
      </c>
    </row>
    <row r="32" spans="1:14" ht="22.5" customHeight="1">
      <c r="A32" s="70" t="s">
        <v>190</v>
      </c>
      <c r="B32" s="147">
        <f>_xlfn.COMPOUNDVALUE(277)</f>
        <v>2099</v>
      </c>
      <c r="C32" s="148">
        <v>96490586</v>
      </c>
      <c r="D32" s="147">
        <f>_xlfn.COMPOUNDVALUE(278)</f>
        <v>645</v>
      </c>
      <c r="E32" s="148">
        <v>411698</v>
      </c>
      <c r="F32" s="147">
        <f>_xlfn.COMPOUNDVALUE(279)</f>
        <v>2744</v>
      </c>
      <c r="G32" s="148">
        <v>96902284</v>
      </c>
      <c r="H32" s="147">
        <f>_xlfn.COMPOUNDVALUE(280)</f>
        <v>288</v>
      </c>
      <c r="I32" s="149">
        <v>24052002</v>
      </c>
      <c r="J32" s="147">
        <v>200</v>
      </c>
      <c r="K32" s="149">
        <v>369783</v>
      </c>
      <c r="L32" s="147">
        <v>3040</v>
      </c>
      <c r="M32" s="149">
        <v>73220065</v>
      </c>
      <c r="N32" s="71" t="s">
        <v>92</v>
      </c>
    </row>
    <row r="33" spans="1:14" ht="22.5" customHeight="1">
      <c r="A33" s="70" t="s">
        <v>191</v>
      </c>
      <c r="B33" s="147">
        <f>_xlfn.COMPOUNDVALUE(281)</f>
        <v>3821</v>
      </c>
      <c r="C33" s="148">
        <v>27913281</v>
      </c>
      <c r="D33" s="147">
        <f>_xlfn.COMPOUNDVALUE(282)</f>
        <v>1466</v>
      </c>
      <c r="E33" s="148">
        <v>867348</v>
      </c>
      <c r="F33" s="147">
        <f>_xlfn.COMPOUNDVALUE(283)</f>
        <v>5287</v>
      </c>
      <c r="G33" s="148">
        <v>28780629</v>
      </c>
      <c r="H33" s="147">
        <f>_xlfn.COMPOUNDVALUE(284)</f>
        <v>268</v>
      </c>
      <c r="I33" s="149">
        <v>822640</v>
      </c>
      <c r="J33" s="147">
        <v>392</v>
      </c>
      <c r="K33" s="149">
        <v>129565</v>
      </c>
      <c r="L33" s="147">
        <v>5596</v>
      </c>
      <c r="M33" s="149">
        <v>28087554</v>
      </c>
      <c r="N33" s="71" t="s">
        <v>94</v>
      </c>
    </row>
    <row r="34" spans="1:14" ht="22.5" customHeight="1">
      <c r="A34" s="70" t="s">
        <v>192</v>
      </c>
      <c r="B34" s="147">
        <f>_xlfn.COMPOUNDVALUE(285)</f>
        <v>4535</v>
      </c>
      <c r="C34" s="148">
        <v>43264254</v>
      </c>
      <c r="D34" s="147">
        <f>_xlfn.COMPOUNDVALUE(286)</f>
        <v>1458</v>
      </c>
      <c r="E34" s="148">
        <v>913697</v>
      </c>
      <c r="F34" s="147">
        <f>_xlfn.COMPOUNDVALUE(287)</f>
        <v>5993</v>
      </c>
      <c r="G34" s="148">
        <v>44177951</v>
      </c>
      <c r="H34" s="147">
        <f>_xlfn.COMPOUNDVALUE(288)</f>
        <v>316</v>
      </c>
      <c r="I34" s="149">
        <v>1389953</v>
      </c>
      <c r="J34" s="147">
        <v>353</v>
      </c>
      <c r="K34" s="149">
        <v>37692</v>
      </c>
      <c r="L34" s="147">
        <v>6341</v>
      </c>
      <c r="M34" s="149">
        <v>42825689</v>
      </c>
      <c r="N34" s="71" t="s">
        <v>96</v>
      </c>
    </row>
    <row r="35" spans="1:14" ht="22.5" customHeight="1">
      <c r="A35" s="70" t="s">
        <v>193</v>
      </c>
      <c r="B35" s="147">
        <f>_xlfn.COMPOUNDVALUE(289)</f>
        <v>3061</v>
      </c>
      <c r="C35" s="148">
        <v>107785733</v>
      </c>
      <c r="D35" s="147">
        <f>_xlfn.COMPOUNDVALUE(290)</f>
        <v>878</v>
      </c>
      <c r="E35" s="148">
        <v>615739</v>
      </c>
      <c r="F35" s="147">
        <f>_xlfn.COMPOUNDVALUE(291)</f>
        <v>3939</v>
      </c>
      <c r="G35" s="148">
        <v>108401471</v>
      </c>
      <c r="H35" s="147">
        <f>_xlfn.COMPOUNDVALUE(292)</f>
        <v>365</v>
      </c>
      <c r="I35" s="149">
        <v>69283008</v>
      </c>
      <c r="J35" s="147">
        <v>316</v>
      </c>
      <c r="K35" s="149">
        <v>169851</v>
      </c>
      <c r="L35" s="147">
        <v>4320</v>
      </c>
      <c r="M35" s="149">
        <v>39288314</v>
      </c>
      <c r="N35" s="71" t="s">
        <v>98</v>
      </c>
    </row>
    <row r="36" spans="1:14" ht="22.5" customHeight="1">
      <c r="A36" s="70" t="s">
        <v>194</v>
      </c>
      <c r="B36" s="147">
        <f>_xlfn.COMPOUNDVALUE(293)</f>
        <v>6184</v>
      </c>
      <c r="C36" s="148">
        <v>119657901</v>
      </c>
      <c r="D36" s="147">
        <f>_xlfn.COMPOUNDVALUE(294)</f>
        <v>1727</v>
      </c>
      <c r="E36" s="148">
        <v>1249078</v>
      </c>
      <c r="F36" s="147">
        <f>_xlfn.COMPOUNDVALUE(295)</f>
        <v>7911</v>
      </c>
      <c r="G36" s="148">
        <v>120906980</v>
      </c>
      <c r="H36" s="147">
        <f>_xlfn.COMPOUNDVALUE(296)</f>
        <v>757</v>
      </c>
      <c r="I36" s="149">
        <v>11386941</v>
      </c>
      <c r="J36" s="147">
        <v>612</v>
      </c>
      <c r="K36" s="149">
        <v>124156</v>
      </c>
      <c r="L36" s="147">
        <v>8756</v>
      </c>
      <c r="M36" s="149">
        <v>109644194</v>
      </c>
      <c r="N36" s="71" t="s">
        <v>100</v>
      </c>
    </row>
    <row r="37" spans="1:14" ht="22.5" customHeight="1">
      <c r="A37" s="70" t="s">
        <v>195</v>
      </c>
      <c r="B37" s="147">
        <f>_xlfn.COMPOUNDVALUE(297)</f>
        <v>5753</v>
      </c>
      <c r="C37" s="148">
        <v>51938442</v>
      </c>
      <c r="D37" s="147">
        <f>_xlfn.COMPOUNDVALUE(298)</f>
        <v>2245</v>
      </c>
      <c r="E37" s="148">
        <v>1402479</v>
      </c>
      <c r="F37" s="147">
        <f>_xlfn.COMPOUNDVALUE(299)</f>
        <v>7998</v>
      </c>
      <c r="G37" s="148">
        <v>53340920</v>
      </c>
      <c r="H37" s="147">
        <f>_xlfn.COMPOUNDVALUE(300)</f>
        <v>544</v>
      </c>
      <c r="I37" s="149">
        <v>18116886</v>
      </c>
      <c r="J37" s="147">
        <v>497</v>
      </c>
      <c r="K37" s="149">
        <v>107116</v>
      </c>
      <c r="L37" s="147">
        <v>8591</v>
      </c>
      <c r="M37" s="149">
        <v>35331151</v>
      </c>
      <c r="N37" s="71" t="s">
        <v>102</v>
      </c>
    </row>
    <row r="38" spans="1:14" ht="22.5" customHeight="1">
      <c r="A38" s="70" t="s">
        <v>196</v>
      </c>
      <c r="B38" s="147">
        <f>_xlfn.COMPOUNDVALUE(301)</f>
        <v>5786</v>
      </c>
      <c r="C38" s="148">
        <v>58957732</v>
      </c>
      <c r="D38" s="147">
        <f>_xlfn.COMPOUNDVALUE(302)</f>
        <v>2100</v>
      </c>
      <c r="E38" s="148">
        <v>1257630</v>
      </c>
      <c r="F38" s="147">
        <f>_xlfn.COMPOUNDVALUE(303)</f>
        <v>7886</v>
      </c>
      <c r="G38" s="148">
        <v>60215362</v>
      </c>
      <c r="H38" s="147">
        <f>_xlfn.COMPOUNDVALUE(304)</f>
        <v>322</v>
      </c>
      <c r="I38" s="149">
        <v>2766006</v>
      </c>
      <c r="J38" s="147">
        <v>565</v>
      </c>
      <c r="K38" s="149">
        <v>43717</v>
      </c>
      <c r="L38" s="147">
        <v>8267</v>
      </c>
      <c r="M38" s="149">
        <v>57493073</v>
      </c>
      <c r="N38" s="71" t="s">
        <v>104</v>
      </c>
    </row>
    <row r="39" spans="1:14" ht="22.5" customHeight="1">
      <c r="A39" s="70" t="s">
        <v>197</v>
      </c>
      <c r="B39" s="147">
        <f>_xlfn.COMPOUNDVALUE(305)</f>
        <v>4916</v>
      </c>
      <c r="C39" s="148">
        <v>40035428</v>
      </c>
      <c r="D39" s="147">
        <f>_xlfn.COMPOUNDVALUE(306)</f>
        <v>1570</v>
      </c>
      <c r="E39" s="148">
        <v>918427</v>
      </c>
      <c r="F39" s="147">
        <f>_xlfn.COMPOUNDVALUE(307)</f>
        <v>6486</v>
      </c>
      <c r="G39" s="148">
        <v>40953855</v>
      </c>
      <c r="H39" s="147">
        <f>_xlfn.COMPOUNDVALUE(308)</f>
        <v>681</v>
      </c>
      <c r="I39" s="149">
        <v>8476838</v>
      </c>
      <c r="J39" s="147">
        <v>640</v>
      </c>
      <c r="K39" s="149">
        <v>44321</v>
      </c>
      <c r="L39" s="147">
        <v>7238</v>
      </c>
      <c r="M39" s="149">
        <v>32521338</v>
      </c>
      <c r="N39" s="71" t="s">
        <v>106</v>
      </c>
    </row>
    <row r="40" spans="1:14" ht="22.5" customHeight="1">
      <c r="A40" s="70" t="s">
        <v>198</v>
      </c>
      <c r="B40" s="147">
        <f>_xlfn.COMPOUNDVALUE(309)</f>
        <v>6830</v>
      </c>
      <c r="C40" s="148">
        <v>51235410</v>
      </c>
      <c r="D40" s="147">
        <f>_xlfn.COMPOUNDVALUE(310)</f>
        <v>2842</v>
      </c>
      <c r="E40" s="148">
        <v>1677499</v>
      </c>
      <c r="F40" s="147">
        <f>_xlfn.COMPOUNDVALUE(311)</f>
        <v>9672</v>
      </c>
      <c r="G40" s="148">
        <v>52912908</v>
      </c>
      <c r="H40" s="147">
        <f>_xlfn.COMPOUNDVALUE(312)</f>
        <v>479</v>
      </c>
      <c r="I40" s="149">
        <v>4630173</v>
      </c>
      <c r="J40" s="147">
        <v>512</v>
      </c>
      <c r="K40" s="149">
        <v>94822</v>
      </c>
      <c r="L40" s="147">
        <v>10208</v>
      </c>
      <c r="M40" s="149">
        <v>48377557</v>
      </c>
      <c r="N40" s="71" t="s">
        <v>108</v>
      </c>
    </row>
    <row r="41" spans="1:14" ht="22.5" customHeight="1">
      <c r="A41" s="70" t="s">
        <v>199</v>
      </c>
      <c r="B41" s="147">
        <f>_xlfn.COMPOUNDVALUE(313)</f>
        <v>3634</v>
      </c>
      <c r="C41" s="148">
        <v>26313316</v>
      </c>
      <c r="D41" s="147">
        <f>_xlfn.COMPOUNDVALUE(314)</f>
        <v>1416</v>
      </c>
      <c r="E41" s="148">
        <v>886724</v>
      </c>
      <c r="F41" s="147">
        <f>_xlfn.COMPOUNDVALUE(315)</f>
        <v>5050</v>
      </c>
      <c r="G41" s="148">
        <v>27200040</v>
      </c>
      <c r="H41" s="147">
        <f>_xlfn.COMPOUNDVALUE(316)</f>
        <v>209</v>
      </c>
      <c r="I41" s="149">
        <v>606183</v>
      </c>
      <c r="J41" s="147">
        <v>234</v>
      </c>
      <c r="K41" s="149">
        <v>2628</v>
      </c>
      <c r="L41" s="147">
        <v>5285</v>
      </c>
      <c r="M41" s="149">
        <v>26596485</v>
      </c>
      <c r="N41" s="71" t="s">
        <v>110</v>
      </c>
    </row>
    <row r="42" spans="1:14" ht="22.5" customHeight="1">
      <c r="A42" s="70" t="s">
        <v>200</v>
      </c>
      <c r="B42" s="147">
        <f>_xlfn.COMPOUNDVALUE(317)</f>
        <v>4317</v>
      </c>
      <c r="C42" s="148">
        <v>39757654</v>
      </c>
      <c r="D42" s="147">
        <f>_xlfn.COMPOUNDVALUE(318)</f>
        <v>1765</v>
      </c>
      <c r="E42" s="148">
        <v>1066166</v>
      </c>
      <c r="F42" s="147">
        <f>_xlfn.COMPOUNDVALUE(319)</f>
        <v>6082</v>
      </c>
      <c r="G42" s="148">
        <v>40823819</v>
      </c>
      <c r="H42" s="147">
        <f>_xlfn.COMPOUNDVALUE(320)</f>
        <v>345</v>
      </c>
      <c r="I42" s="149">
        <v>1626161</v>
      </c>
      <c r="J42" s="147">
        <v>392</v>
      </c>
      <c r="K42" s="149">
        <v>18222</v>
      </c>
      <c r="L42" s="147">
        <v>6452</v>
      </c>
      <c r="M42" s="149">
        <v>39215881</v>
      </c>
      <c r="N42" s="71" t="s">
        <v>112</v>
      </c>
    </row>
    <row r="43" spans="1:14" ht="22.5" customHeight="1">
      <c r="A43" s="70" t="s">
        <v>201</v>
      </c>
      <c r="B43" s="147">
        <f>_xlfn.COMPOUNDVALUE(321)</f>
        <v>1921</v>
      </c>
      <c r="C43" s="148">
        <v>12613222</v>
      </c>
      <c r="D43" s="147">
        <f>_xlfn.COMPOUNDVALUE(322)</f>
        <v>839</v>
      </c>
      <c r="E43" s="148">
        <v>453799</v>
      </c>
      <c r="F43" s="147">
        <f>_xlfn.COMPOUNDVALUE(323)</f>
        <v>2760</v>
      </c>
      <c r="G43" s="148">
        <v>13067020</v>
      </c>
      <c r="H43" s="147">
        <f>_xlfn.COMPOUNDVALUE(324)</f>
        <v>130</v>
      </c>
      <c r="I43" s="149">
        <v>1173003</v>
      </c>
      <c r="J43" s="147">
        <v>220</v>
      </c>
      <c r="K43" s="149">
        <v>29379</v>
      </c>
      <c r="L43" s="147">
        <v>2911</v>
      </c>
      <c r="M43" s="149">
        <v>11923396</v>
      </c>
      <c r="N43" s="71" t="s">
        <v>114</v>
      </c>
    </row>
    <row r="44" spans="1:14" ht="22.5" customHeight="1">
      <c r="A44" s="73" t="s">
        <v>202</v>
      </c>
      <c r="B44" s="150">
        <f>_xlfn.COMPOUNDVALUE(325)</f>
        <v>4971</v>
      </c>
      <c r="C44" s="151">
        <v>45217847</v>
      </c>
      <c r="D44" s="150">
        <f>_xlfn.COMPOUNDVALUE(326)</f>
        <v>1714</v>
      </c>
      <c r="E44" s="151">
        <v>1105524</v>
      </c>
      <c r="F44" s="150">
        <f>_xlfn.COMPOUNDVALUE(327)</f>
        <v>6685</v>
      </c>
      <c r="G44" s="151">
        <v>46323371</v>
      </c>
      <c r="H44" s="150">
        <f>_xlfn.COMPOUNDVALUE(328)</f>
        <v>345</v>
      </c>
      <c r="I44" s="152">
        <v>4434098</v>
      </c>
      <c r="J44" s="150">
        <v>467</v>
      </c>
      <c r="K44" s="152">
        <v>23287</v>
      </c>
      <c r="L44" s="150">
        <v>7078</v>
      </c>
      <c r="M44" s="152">
        <v>41912560</v>
      </c>
      <c r="N44" s="74" t="s">
        <v>116</v>
      </c>
    </row>
    <row r="45" spans="1:14" ht="22.5" customHeight="1">
      <c r="A45" s="73" t="s">
        <v>203</v>
      </c>
      <c r="B45" s="150">
        <f>_xlfn.COMPOUNDVALUE(329)</f>
        <v>3335</v>
      </c>
      <c r="C45" s="151">
        <v>23609152</v>
      </c>
      <c r="D45" s="150">
        <f>_xlfn.COMPOUNDVALUE(330)</f>
        <v>1117</v>
      </c>
      <c r="E45" s="151">
        <v>678422</v>
      </c>
      <c r="F45" s="150">
        <f>_xlfn.COMPOUNDVALUE(331)</f>
        <v>4452</v>
      </c>
      <c r="G45" s="151">
        <v>24287574</v>
      </c>
      <c r="H45" s="150">
        <f>_xlfn.COMPOUNDVALUE(332)</f>
        <v>434</v>
      </c>
      <c r="I45" s="152">
        <v>4686166</v>
      </c>
      <c r="J45" s="150">
        <v>258</v>
      </c>
      <c r="K45" s="152">
        <v>31503</v>
      </c>
      <c r="L45" s="150">
        <v>4907</v>
      </c>
      <c r="M45" s="152">
        <v>19632910</v>
      </c>
      <c r="N45" s="74" t="s">
        <v>118</v>
      </c>
    </row>
    <row r="46" spans="1:14" ht="22.5" customHeight="1">
      <c r="A46" s="73" t="s">
        <v>204</v>
      </c>
      <c r="B46" s="150">
        <f>_xlfn.COMPOUNDVALUE(333)</f>
        <v>4683</v>
      </c>
      <c r="C46" s="151">
        <v>69190032</v>
      </c>
      <c r="D46" s="150">
        <f>_xlfn.COMPOUNDVALUE(334)</f>
        <v>1537</v>
      </c>
      <c r="E46" s="151">
        <v>941783</v>
      </c>
      <c r="F46" s="150">
        <f>_xlfn.COMPOUNDVALUE(335)</f>
        <v>6220</v>
      </c>
      <c r="G46" s="151">
        <v>70131815</v>
      </c>
      <c r="H46" s="150">
        <f>_xlfn.COMPOUNDVALUE(336)</f>
        <v>279</v>
      </c>
      <c r="I46" s="152">
        <v>61329785</v>
      </c>
      <c r="J46" s="150">
        <v>537</v>
      </c>
      <c r="K46" s="152">
        <v>-443951</v>
      </c>
      <c r="L46" s="150">
        <v>6552</v>
      </c>
      <c r="M46" s="152">
        <v>8358078</v>
      </c>
      <c r="N46" s="74" t="s">
        <v>120</v>
      </c>
    </row>
    <row r="47" spans="1:14" ht="22.5" customHeight="1">
      <c r="A47" s="73" t="s">
        <v>205</v>
      </c>
      <c r="B47" s="150">
        <f>_xlfn.COMPOUNDVALUE(337)</f>
        <v>3790</v>
      </c>
      <c r="C47" s="151">
        <v>43946780</v>
      </c>
      <c r="D47" s="150">
        <f>_xlfn.COMPOUNDVALUE(338)</f>
        <v>1354</v>
      </c>
      <c r="E47" s="151">
        <v>833456</v>
      </c>
      <c r="F47" s="150">
        <f>_xlfn.COMPOUNDVALUE(339)</f>
        <v>5144</v>
      </c>
      <c r="G47" s="151">
        <v>44780235</v>
      </c>
      <c r="H47" s="150">
        <f>_xlfn.COMPOUNDVALUE(340)</f>
        <v>235</v>
      </c>
      <c r="I47" s="152">
        <v>306512003</v>
      </c>
      <c r="J47" s="150">
        <v>274</v>
      </c>
      <c r="K47" s="152">
        <v>60126</v>
      </c>
      <c r="L47" s="150">
        <v>5410</v>
      </c>
      <c r="M47" s="153">
        <v>-261671641</v>
      </c>
      <c r="N47" s="74" t="s">
        <v>122</v>
      </c>
    </row>
    <row r="48" spans="1:14" ht="22.5" customHeight="1">
      <c r="A48" s="73" t="s">
        <v>206</v>
      </c>
      <c r="B48" s="150">
        <f>_xlfn.COMPOUNDVALUE(341)</f>
        <v>1620</v>
      </c>
      <c r="C48" s="151">
        <v>12567136</v>
      </c>
      <c r="D48" s="150">
        <f>_xlfn.COMPOUNDVALUE(342)</f>
        <v>492</v>
      </c>
      <c r="E48" s="151">
        <v>322299</v>
      </c>
      <c r="F48" s="150">
        <f>_xlfn.COMPOUNDVALUE(343)</f>
        <v>2112</v>
      </c>
      <c r="G48" s="151">
        <v>12889435</v>
      </c>
      <c r="H48" s="150">
        <f>_xlfn.COMPOUNDVALUE(344)</f>
        <v>71</v>
      </c>
      <c r="I48" s="152">
        <v>694282</v>
      </c>
      <c r="J48" s="150">
        <v>123</v>
      </c>
      <c r="K48" s="152">
        <v>30105</v>
      </c>
      <c r="L48" s="150">
        <v>2186</v>
      </c>
      <c r="M48" s="152">
        <v>12225258</v>
      </c>
      <c r="N48" s="74" t="s">
        <v>124</v>
      </c>
    </row>
    <row r="49" spans="1:14" ht="22.5" customHeight="1">
      <c r="A49" s="73" t="s">
        <v>207</v>
      </c>
      <c r="B49" s="150">
        <f>_xlfn.COMPOUNDVALUE(345)</f>
        <v>6628</v>
      </c>
      <c r="C49" s="151">
        <v>53338694</v>
      </c>
      <c r="D49" s="150">
        <f>_xlfn.COMPOUNDVALUE(346)</f>
        <v>2611</v>
      </c>
      <c r="E49" s="151">
        <v>1628243</v>
      </c>
      <c r="F49" s="150">
        <f>_xlfn.COMPOUNDVALUE(347)</f>
        <v>9239</v>
      </c>
      <c r="G49" s="151">
        <v>54966937</v>
      </c>
      <c r="H49" s="150">
        <f>_xlfn.COMPOUNDVALUE(348)</f>
        <v>438</v>
      </c>
      <c r="I49" s="152">
        <v>15069208</v>
      </c>
      <c r="J49" s="150">
        <v>572</v>
      </c>
      <c r="K49" s="152">
        <v>142357</v>
      </c>
      <c r="L49" s="150">
        <v>9717</v>
      </c>
      <c r="M49" s="152">
        <v>40040086</v>
      </c>
      <c r="N49" s="74" t="s">
        <v>126</v>
      </c>
    </row>
    <row r="50" spans="1:14" ht="22.5" customHeight="1">
      <c r="A50" s="172" t="s">
        <v>208</v>
      </c>
      <c r="B50" s="173">
        <f>_xlfn.COMPOUNDVALUE(349)</f>
        <v>501</v>
      </c>
      <c r="C50" s="174">
        <v>2398439</v>
      </c>
      <c r="D50" s="173">
        <f>_xlfn.COMPOUNDVALUE(350)</f>
        <v>183</v>
      </c>
      <c r="E50" s="174">
        <v>108024</v>
      </c>
      <c r="F50" s="173">
        <f>_xlfn.COMPOUNDVALUE(351)</f>
        <v>684</v>
      </c>
      <c r="G50" s="174">
        <v>2506463</v>
      </c>
      <c r="H50" s="173">
        <f>_xlfn.COMPOUNDVALUE(352)</f>
        <v>28</v>
      </c>
      <c r="I50" s="175">
        <v>21969</v>
      </c>
      <c r="J50" s="173">
        <v>48</v>
      </c>
      <c r="K50" s="175">
        <v>1659</v>
      </c>
      <c r="L50" s="173">
        <v>714</v>
      </c>
      <c r="M50" s="175">
        <v>2486153</v>
      </c>
      <c r="N50" s="176" t="s">
        <v>128</v>
      </c>
    </row>
    <row r="51" spans="1:14" ht="22.5" customHeight="1">
      <c r="A51" s="177" t="s">
        <v>209</v>
      </c>
      <c r="B51" s="178">
        <v>81823</v>
      </c>
      <c r="C51" s="179">
        <v>953720675</v>
      </c>
      <c r="D51" s="178">
        <v>29428</v>
      </c>
      <c r="E51" s="179">
        <v>18270494</v>
      </c>
      <c r="F51" s="178">
        <v>111251</v>
      </c>
      <c r="G51" s="179">
        <v>971991168</v>
      </c>
      <c r="H51" s="178">
        <v>6874</v>
      </c>
      <c r="I51" s="180">
        <v>538440870</v>
      </c>
      <c r="J51" s="178">
        <v>7567</v>
      </c>
      <c r="K51" s="180">
        <v>1085993</v>
      </c>
      <c r="L51" s="178">
        <v>118853</v>
      </c>
      <c r="M51" s="180">
        <v>434636291</v>
      </c>
      <c r="N51" s="181" t="s">
        <v>130</v>
      </c>
    </row>
    <row r="52" spans="1:14" ht="22.5" customHeight="1">
      <c r="A52" s="182"/>
      <c r="B52" s="183"/>
      <c r="C52" s="184"/>
      <c r="D52" s="183"/>
      <c r="E52" s="184"/>
      <c r="F52" s="185"/>
      <c r="G52" s="184"/>
      <c r="H52" s="185"/>
      <c r="I52" s="184"/>
      <c r="J52" s="185"/>
      <c r="K52" s="184"/>
      <c r="L52" s="185"/>
      <c r="M52" s="184"/>
      <c r="N52" s="186"/>
    </row>
    <row r="53" spans="1:14" ht="22.5" customHeight="1">
      <c r="A53" s="70" t="s">
        <v>210</v>
      </c>
      <c r="B53" s="147">
        <f>_xlfn.COMPOUNDVALUE(353)</f>
        <v>2234</v>
      </c>
      <c r="C53" s="148">
        <v>18518661</v>
      </c>
      <c r="D53" s="147">
        <f>_xlfn.COMPOUNDVALUE(354)</f>
        <v>865</v>
      </c>
      <c r="E53" s="148">
        <v>536303</v>
      </c>
      <c r="F53" s="147">
        <f>_xlfn.COMPOUNDVALUE(355)</f>
        <v>3099</v>
      </c>
      <c r="G53" s="148">
        <v>19054964</v>
      </c>
      <c r="H53" s="147">
        <f>_xlfn.COMPOUNDVALUE(356)</f>
        <v>165</v>
      </c>
      <c r="I53" s="149">
        <v>1090888</v>
      </c>
      <c r="J53" s="147">
        <v>280</v>
      </c>
      <c r="K53" s="149">
        <v>46212</v>
      </c>
      <c r="L53" s="147">
        <v>3295</v>
      </c>
      <c r="M53" s="149">
        <v>18010287</v>
      </c>
      <c r="N53" s="71" t="s">
        <v>132</v>
      </c>
    </row>
    <row r="54" spans="1:14" ht="22.5" customHeight="1">
      <c r="A54" s="73" t="s">
        <v>211</v>
      </c>
      <c r="B54" s="150">
        <f>_xlfn.COMPOUNDVALUE(357)</f>
        <v>3923</v>
      </c>
      <c r="C54" s="151">
        <v>36583770</v>
      </c>
      <c r="D54" s="150">
        <f>_xlfn.COMPOUNDVALUE(358)</f>
        <v>1418</v>
      </c>
      <c r="E54" s="151">
        <v>896358</v>
      </c>
      <c r="F54" s="150">
        <f>_xlfn.COMPOUNDVALUE(359)</f>
        <v>5341</v>
      </c>
      <c r="G54" s="151">
        <v>37480128</v>
      </c>
      <c r="H54" s="150">
        <f>_xlfn.COMPOUNDVALUE(360)</f>
        <v>265</v>
      </c>
      <c r="I54" s="152">
        <v>23814410</v>
      </c>
      <c r="J54" s="150">
        <v>396</v>
      </c>
      <c r="K54" s="152">
        <v>60995</v>
      </c>
      <c r="L54" s="150">
        <v>5642</v>
      </c>
      <c r="M54" s="152">
        <v>13726713</v>
      </c>
      <c r="N54" s="74" t="s">
        <v>134</v>
      </c>
    </row>
    <row r="55" spans="1:14" ht="22.5" customHeight="1">
      <c r="A55" s="73" t="s">
        <v>212</v>
      </c>
      <c r="B55" s="150">
        <f>_xlfn.COMPOUNDVALUE(361)</f>
        <v>2252</v>
      </c>
      <c r="C55" s="151">
        <v>12292592</v>
      </c>
      <c r="D55" s="150">
        <f>_xlfn.COMPOUNDVALUE(362)</f>
        <v>820</v>
      </c>
      <c r="E55" s="151">
        <v>469627</v>
      </c>
      <c r="F55" s="150">
        <f>_xlfn.COMPOUNDVALUE(363)</f>
        <v>3072</v>
      </c>
      <c r="G55" s="151">
        <v>12762219</v>
      </c>
      <c r="H55" s="150">
        <f>_xlfn.COMPOUNDVALUE(364)</f>
        <v>178</v>
      </c>
      <c r="I55" s="152">
        <v>1717962</v>
      </c>
      <c r="J55" s="150">
        <v>194</v>
      </c>
      <c r="K55" s="152">
        <v>61939</v>
      </c>
      <c r="L55" s="150">
        <v>3265</v>
      </c>
      <c r="M55" s="152">
        <v>11106196</v>
      </c>
      <c r="N55" s="74" t="s">
        <v>136</v>
      </c>
    </row>
    <row r="56" spans="1:14" ht="22.5" customHeight="1">
      <c r="A56" s="73" t="s">
        <v>213</v>
      </c>
      <c r="B56" s="150">
        <f>_xlfn.COMPOUNDVALUE(365)</f>
        <v>1815</v>
      </c>
      <c r="C56" s="151">
        <v>13153761</v>
      </c>
      <c r="D56" s="150">
        <f>_xlfn.COMPOUNDVALUE(366)</f>
        <v>604</v>
      </c>
      <c r="E56" s="151">
        <v>382133</v>
      </c>
      <c r="F56" s="150">
        <f>_xlfn.COMPOUNDVALUE(367)</f>
        <v>2419</v>
      </c>
      <c r="G56" s="151">
        <v>13535894</v>
      </c>
      <c r="H56" s="150">
        <f>_xlfn.COMPOUNDVALUE(368)</f>
        <v>133</v>
      </c>
      <c r="I56" s="152">
        <v>4345934</v>
      </c>
      <c r="J56" s="150">
        <v>137</v>
      </c>
      <c r="K56" s="152">
        <v>-67646</v>
      </c>
      <c r="L56" s="150">
        <v>2573</v>
      </c>
      <c r="M56" s="152">
        <v>9122314</v>
      </c>
      <c r="N56" s="74" t="s">
        <v>138</v>
      </c>
    </row>
    <row r="57" spans="1:14" ht="22.5" customHeight="1">
      <c r="A57" s="73" t="s">
        <v>214</v>
      </c>
      <c r="B57" s="150">
        <f>_xlfn.COMPOUNDVALUE(369)</f>
        <v>1941</v>
      </c>
      <c r="C57" s="151">
        <v>16171573</v>
      </c>
      <c r="D57" s="150">
        <f>_xlfn.COMPOUNDVALUE(370)</f>
        <v>749</v>
      </c>
      <c r="E57" s="151">
        <v>454780</v>
      </c>
      <c r="F57" s="150">
        <f>_xlfn.COMPOUNDVALUE(371)</f>
        <v>2690</v>
      </c>
      <c r="G57" s="151">
        <v>16626353</v>
      </c>
      <c r="H57" s="150">
        <f>_xlfn.COMPOUNDVALUE(372)</f>
        <v>147</v>
      </c>
      <c r="I57" s="152">
        <v>504848</v>
      </c>
      <c r="J57" s="150">
        <v>166</v>
      </c>
      <c r="K57" s="152">
        <v>19068</v>
      </c>
      <c r="L57" s="150">
        <v>2852</v>
      </c>
      <c r="M57" s="152">
        <v>16140573</v>
      </c>
      <c r="N57" s="74" t="s">
        <v>140</v>
      </c>
    </row>
    <row r="58" spans="1:14" ht="22.5" customHeight="1">
      <c r="A58" s="73" t="s">
        <v>215</v>
      </c>
      <c r="B58" s="150">
        <f>_xlfn.COMPOUNDVALUE(373)</f>
        <v>1216</v>
      </c>
      <c r="C58" s="151">
        <v>7973725</v>
      </c>
      <c r="D58" s="150">
        <f>_xlfn.COMPOUNDVALUE(374)</f>
        <v>401</v>
      </c>
      <c r="E58" s="151">
        <v>227452</v>
      </c>
      <c r="F58" s="150">
        <f>_xlfn.COMPOUNDVALUE(375)</f>
        <v>1617</v>
      </c>
      <c r="G58" s="151">
        <v>8201178</v>
      </c>
      <c r="H58" s="150">
        <f>_xlfn.COMPOUNDVALUE(376)</f>
        <v>78</v>
      </c>
      <c r="I58" s="152">
        <v>356063</v>
      </c>
      <c r="J58" s="150">
        <v>118</v>
      </c>
      <c r="K58" s="152">
        <v>30406</v>
      </c>
      <c r="L58" s="150">
        <v>1703</v>
      </c>
      <c r="M58" s="152">
        <v>7875520</v>
      </c>
      <c r="N58" s="74" t="s">
        <v>142</v>
      </c>
    </row>
    <row r="59" spans="1:14" ht="22.5" customHeight="1">
      <c r="A59" s="73" t="s">
        <v>216</v>
      </c>
      <c r="B59" s="150">
        <f>_xlfn.COMPOUNDVALUE(377)</f>
        <v>1936</v>
      </c>
      <c r="C59" s="151">
        <v>12793888</v>
      </c>
      <c r="D59" s="150">
        <f>_xlfn.COMPOUNDVALUE(378)</f>
        <v>640</v>
      </c>
      <c r="E59" s="151">
        <v>452919</v>
      </c>
      <c r="F59" s="150">
        <f>_xlfn.COMPOUNDVALUE(379)</f>
        <v>2576</v>
      </c>
      <c r="G59" s="151">
        <v>13246807</v>
      </c>
      <c r="H59" s="150">
        <f>_xlfn.COMPOUNDVALUE(380)</f>
        <v>115</v>
      </c>
      <c r="I59" s="152">
        <v>480724</v>
      </c>
      <c r="J59" s="150">
        <v>147</v>
      </c>
      <c r="K59" s="152">
        <v>36370</v>
      </c>
      <c r="L59" s="150">
        <v>2707</v>
      </c>
      <c r="M59" s="152">
        <v>12802453</v>
      </c>
      <c r="N59" s="74" t="s">
        <v>144</v>
      </c>
    </row>
    <row r="60" spans="1:14" ht="22.5" customHeight="1">
      <c r="A60" s="172" t="s">
        <v>217</v>
      </c>
      <c r="B60" s="173">
        <f>_xlfn.COMPOUNDVALUE(381)</f>
        <v>586</v>
      </c>
      <c r="C60" s="174">
        <v>2929489</v>
      </c>
      <c r="D60" s="173">
        <f>_xlfn.COMPOUNDVALUE(382)</f>
        <v>191</v>
      </c>
      <c r="E60" s="174">
        <v>118835</v>
      </c>
      <c r="F60" s="173">
        <f>_xlfn.COMPOUNDVALUE(383)</f>
        <v>777</v>
      </c>
      <c r="G60" s="174">
        <v>3048324</v>
      </c>
      <c r="H60" s="173">
        <f>_xlfn.COMPOUNDVALUE(384)</f>
        <v>27</v>
      </c>
      <c r="I60" s="175">
        <v>59089</v>
      </c>
      <c r="J60" s="173">
        <v>66</v>
      </c>
      <c r="K60" s="175">
        <v>25055</v>
      </c>
      <c r="L60" s="173">
        <v>807</v>
      </c>
      <c r="M60" s="175">
        <v>3014290</v>
      </c>
      <c r="N60" s="176" t="s">
        <v>146</v>
      </c>
    </row>
    <row r="61" spans="1:14" ht="22.5" customHeight="1">
      <c r="A61" s="190" t="s">
        <v>218</v>
      </c>
      <c r="B61" s="191">
        <v>15903</v>
      </c>
      <c r="C61" s="192">
        <v>120417458</v>
      </c>
      <c r="D61" s="191">
        <v>5688</v>
      </c>
      <c r="E61" s="192">
        <v>3538407</v>
      </c>
      <c r="F61" s="191">
        <v>21591</v>
      </c>
      <c r="G61" s="192">
        <v>123955866</v>
      </c>
      <c r="H61" s="191">
        <v>1108</v>
      </c>
      <c r="I61" s="193">
        <v>32369918</v>
      </c>
      <c r="J61" s="191">
        <v>1504</v>
      </c>
      <c r="K61" s="193">
        <v>212399</v>
      </c>
      <c r="L61" s="191">
        <v>22844</v>
      </c>
      <c r="M61" s="193">
        <v>91798348</v>
      </c>
      <c r="N61" s="194" t="s">
        <v>148</v>
      </c>
    </row>
    <row r="62" spans="1:14" ht="22.5" customHeight="1" thickBot="1">
      <c r="A62" s="75"/>
      <c r="B62" s="154"/>
      <c r="C62" s="155"/>
      <c r="D62" s="154"/>
      <c r="E62" s="155"/>
      <c r="F62" s="156"/>
      <c r="G62" s="155"/>
      <c r="H62" s="156"/>
      <c r="I62" s="155"/>
      <c r="J62" s="156"/>
      <c r="K62" s="155"/>
      <c r="L62" s="156"/>
      <c r="M62" s="155"/>
      <c r="N62" s="76"/>
    </row>
    <row r="63" spans="1:14" ht="22.5" customHeight="1" thickBot="1" thickTop="1">
      <c r="A63" s="77" t="s">
        <v>219</v>
      </c>
      <c r="B63" s="157">
        <v>155617</v>
      </c>
      <c r="C63" s="158">
        <v>1517042808</v>
      </c>
      <c r="D63" s="157">
        <v>59007</v>
      </c>
      <c r="E63" s="158">
        <v>35780011</v>
      </c>
      <c r="F63" s="157">
        <v>214624</v>
      </c>
      <c r="G63" s="158">
        <v>1552822819</v>
      </c>
      <c r="H63" s="157">
        <v>11944</v>
      </c>
      <c r="I63" s="159">
        <v>640633498</v>
      </c>
      <c r="J63" s="157">
        <v>14858</v>
      </c>
      <c r="K63" s="159">
        <v>2533534</v>
      </c>
      <c r="L63" s="157">
        <v>227961</v>
      </c>
      <c r="M63" s="159">
        <v>914722855</v>
      </c>
      <c r="N63" s="78" t="s">
        <v>43</v>
      </c>
    </row>
    <row r="64" spans="1:14" s="160" customFormat="1" ht="3" customHeight="1">
      <c r="A64" s="108"/>
      <c r="B64" s="109"/>
      <c r="C64" s="109"/>
      <c r="D64" s="109"/>
      <c r="E64" s="109"/>
      <c r="F64" s="109"/>
      <c r="G64" s="109"/>
      <c r="H64" s="109"/>
      <c r="I64" s="109"/>
      <c r="J64" s="109"/>
      <c r="K64" s="109"/>
      <c r="L64" s="109"/>
      <c r="M64" s="109"/>
      <c r="N64" s="108"/>
    </row>
    <row r="65" spans="1:14" ht="22.5" customHeight="1">
      <c r="A65" s="260" t="s">
        <v>225</v>
      </c>
      <c r="B65" s="260"/>
      <c r="C65" s="260"/>
      <c r="D65" s="260"/>
      <c r="E65" s="260"/>
      <c r="F65" s="260"/>
      <c r="G65" s="260"/>
      <c r="H65" s="260"/>
      <c r="I65" s="260"/>
      <c r="J65" s="60"/>
      <c r="K65" s="60"/>
      <c r="L65" s="61"/>
      <c r="M65" s="61"/>
      <c r="N65" s="61"/>
    </row>
  </sheetData>
  <sheetProtection/>
  <mergeCells count="11">
    <mergeCell ref="N3:N5"/>
    <mergeCell ref="B4:C4"/>
    <mergeCell ref="D4:E4"/>
    <mergeCell ref="F4:G4"/>
    <mergeCell ref="A65:I65"/>
    <mergeCell ref="A2:I2"/>
    <mergeCell ref="A3:A5"/>
    <mergeCell ref="B3:G3"/>
    <mergeCell ref="H3:I4"/>
    <mergeCell ref="J3:K4"/>
    <mergeCell ref="L3:M4"/>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&amp;R名古屋国税局 消費税（H29）</oddFooter>
  </headerFooter>
</worksheet>
</file>

<file path=xl/worksheets/sheet6.xml><?xml version="1.0" encoding="utf-8"?>
<worksheet xmlns="http://schemas.openxmlformats.org/spreadsheetml/2006/main" xmlns:r="http://schemas.openxmlformats.org/officeDocument/2006/relationships">
  <dimension ref="A1:R64"/>
  <sheetViews>
    <sheetView showGridLines="0" zoomScale="70" zoomScaleNormal="70" zoomScaleSheetLayoutView="75" workbookViewId="0" topLeftCell="A1">
      <selection activeCell="A1" sqref="A1"/>
    </sheetView>
  </sheetViews>
  <sheetFormatPr defaultColWidth="9.00390625" defaultRowHeight="13.5"/>
  <cols>
    <col min="1" max="1" width="10.00390625" style="79" customWidth="1"/>
    <col min="2" max="2" width="10.625" style="79" customWidth="1"/>
    <col min="3" max="3" width="12.625" style="79" customWidth="1"/>
    <col min="4" max="4" width="10.625" style="79" customWidth="1"/>
    <col min="5" max="5" width="12.625" style="79" customWidth="1"/>
    <col min="6" max="6" width="10.625" style="79" customWidth="1"/>
    <col min="7" max="7" width="12.625" style="79" customWidth="1"/>
    <col min="8" max="8" width="10.625" style="79" customWidth="1"/>
    <col min="9" max="9" width="12.625" style="79" customWidth="1"/>
    <col min="10" max="10" width="10.625" style="79" customWidth="1"/>
    <col min="11" max="11" width="12.625" style="79" customWidth="1"/>
    <col min="12" max="12" width="10.625" style="79" customWidth="1"/>
    <col min="13" max="13" width="12.625" style="79" customWidth="1"/>
    <col min="14" max="17" width="10.625" style="79" customWidth="1"/>
    <col min="18" max="18" width="10.00390625" style="79" customWidth="1"/>
    <col min="19" max="16384" width="9.00390625" style="79" customWidth="1"/>
  </cols>
  <sheetData>
    <row r="1" spans="1:16" ht="12">
      <c r="A1" s="60" t="s">
        <v>230</v>
      </c>
      <c r="B1" s="60"/>
      <c r="C1" s="60"/>
      <c r="D1" s="60"/>
      <c r="E1" s="60"/>
      <c r="F1" s="60"/>
      <c r="G1" s="60"/>
      <c r="H1" s="60"/>
      <c r="I1" s="60"/>
      <c r="J1" s="60"/>
      <c r="K1" s="60"/>
      <c r="L1" s="61"/>
      <c r="M1" s="61"/>
      <c r="N1" s="61"/>
      <c r="O1" s="61"/>
      <c r="P1" s="61"/>
    </row>
    <row r="2" spans="1:16" ht="12.75" thickBot="1">
      <c r="A2" s="280" t="s">
        <v>151</v>
      </c>
      <c r="B2" s="280"/>
      <c r="C2" s="280"/>
      <c r="D2" s="280"/>
      <c r="E2" s="280"/>
      <c r="F2" s="280"/>
      <c r="G2" s="280"/>
      <c r="H2" s="280"/>
      <c r="I2" s="280"/>
      <c r="J2" s="60"/>
      <c r="K2" s="60"/>
      <c r="L2" s="61"/>
      <c r="M2" s="61"/>
      <c r="N2" s="61"/>
      <c r="O2" s="61"/>
      <c r="P2" s="61"/>
    </row>
    <row r="3" spans="1:18" ht="23.25" customHeight="1">
      <c r="A3" s="261" t="s">
        <v>154</v>
      </c>
      <c r="B3" s="264" t="s">
        <v>155</v>
      </c>
      <c r="C3" s="264"/>
      <c r="D3" s="264"/>
      <c r="E3" s="264"/>
      <c r="F3" s="264"/>
      <c r="G3" s="264"/>
      <c r="H3" s="281" t="s">
        <v>13</v>
      </c>
      <c r="I3" s="281"/>
      <c r="J3" s="282" t="s">
        <v>37</v>
      </c>
      <c r="K3" s="281"/>
      <c r="L3" s="264" t="s">
        <v>38</v>
      </c>
      <c r="M3" s="264"/>
      <c r="N3" s="284" t="s">
        <v>159</v>
      </c>
      <c r="O3" s="285"/>
      <c r="P3" s="285"/>
      <c r="Q3" s="285"/>
      <c r="R3" s="274" t="s">
        <v>150</v>
      </c>
    </row>
    <row r="4" spans="1:18" ht="23.25" customHeight="1">
      <c r="A4" s="262"/>
      <c r="B4" s="277" t="s">
        <v>18</v>
      </c>
      <c r="C4" s="277"/>
      <c r="D4" s="277" t="s">
        <v>40</v>
      </c>
      <c r="E4" s="277"/>
      <c r="F4" s="283" t="s">
        <v>41</v>
      </c>
      <c r="G4" s="283"/>
      <c r="H4" s="277"/>
      <c r="I4" s="277"/>
      <c r="J4" s="277"/>
      <c r="K4" s="277"/>
      <c r="L4" s="283"/>
      <c r="M4" s="283"/>
      <c r="N4" s="286" t="s">
        <v>152</v>
      </c>
      <c r="O4" s="288" t="s">
        <v>160</v>
      </c>
      <c r="P4" s="290" t="s">
        <v>161</v>
      </c>
      <c r="Q4" s="273" t="s">
        <v>153</v>
      </c>
      <c r="R4" s="275"/>
    </row>
    <row r="5" spans="1:18" ht="30" customHeight="1">
      <c r="A5" s="263"/>
      <c r="B5" s="166" t="s">
        <v>223</v>
      </c>
      <c r="C5" s="98" t="s">
        <v>156</v>
      </c>
      <c r="D5" s="63" t="s">
        <v>223</v>
      </c>
      <c r="E5" s="98" t="s">
        <v>156</v>
      </c>
      <c r="F5" s="63" t="s">
        <v>223</v>
      </c>
      <c r="G5" s="99" t="s">
        <v>220</v>
      </c>
      <c r="H5" s="165" t="s">
        <v>223</v>
      </c>
      <c r="I5" s="63" t="s">
        <v>221</v>
      </c>
      <c r="J5" s="166" t="s">
        <v>223</v>
      </c>
      <c r="K5" s="99" t="s">
        <v>222</v>
      </c>
      <c r="L5" s="165" t="s">
        <v>223</v>
      </c>
      <c r="M5" s="99" t="s">
        <v>162</v>
      </c>
      <c r="N5" s="287"/>
      <c r="O5" s="289"/>
      <c r="P5" s="291"/>
      <c r="Q5" s="292"/>
      <c r="R5" s="276"/>
    </row>
    <row r="6" spans="1:18" s="87" customFormat="1" ht="12">
      <c r="A6" s="81"/>
      <c r="B6" s="82" t="s">
        <v>4</v>
      </c>
      <c r="C6" s="83" t="s">
        <v>5</v>
      </c>
      <c r="D6" s="82" t="s">
        <v>4</v>
      </c>
      <c r="E6" s="83" t="s">
        <v>5</v>
      </c>
      <c r="F6" s="82" t="s">
        <v>4</v>
      </c>
      <c r="G6" s="83" t="s">
        <v>5</v>
      </c>
      <c r="H6" s="82" t="s">
        <v>4</v>
      </c>
      <c r="I6" s="83" t="s">
        <v>5</v>
      </c>
      <c r="J6" s="82" t="s">
        <v>4</v>
      </c>
      <c r="K6" s="83" t="s">
        <v>5</v>
      </c>
      <c r="L6" s="82" t="s">
        <v>228</v>
      </c>
      <c r="M6" s="83" t="s">
        <v>5</v>
      </c>
      <c r="N6" s="82" t="s">
        <v>4</v>
      </c>
      <c r="O6" s="84" t="s">
        <v>4</v>
      </c>
      <c r="P6" s="84" t="s">
        <v>4</v>
      </c>
      <c r="Q6" s="85" t="s">
        <v>4</v>
      </c>
      <c r="R6" s="86"/>
    </row>
    <row r="7" spans="1:18" ht="25.5" customHeight="1">
      <c r="A7" s="88" t="s">
        <v>45</v>
      </c>
      <c r="B7" s="130">
        <f>_xlfn.COMPOUNDVALUE(385)</f>
        <v>6579</v>
      </c>
      <c r="C7" s="131">
        <v>33442295</v>
      </c>
      <c r="D7" s="130">
        <f>_xlfn.COMPOUNDVALUE(386)</f>
        <v>4205</v>
      </c>
      <c r="E7" s="131">
        <v>2059315</v>
      </c>
      <c r="F7" s="130">
        <f>_xlfn.COMPOUNDVALUE(387)</f>
        <v>10784</v>
      </c>
      <c r="G7" s="131">
        <v>35501610</v>
      </c>
      <c r="H7" s="130">
        <f>_xlfn.COMPOUNDVALUE(388)</f>
        <v>471</v>
      </c>
      <c r="I7" s="132">
        <v>1459183</v>
      </c>
      <c r="J7" s="130">
        <v>879</v>
      </c>
      <c r="K7" s="132">
        <v>258470</v>
      </c>
      <c r="L7" s="130">
        <v>11418</v>
      </c>
      <c r="M7" s="132">
        <v>34300897</v>
      </c>
      <c r="N7" s="130">
        <v>11120</v>
      </c>
      <c r="O7" s="133">
        <v>247</v>
      </c>
      <c r="P7" s="133">
        <v>29</v>
      </c>
      <c r="Q7" s="134">
        <v>11396</v>
      </c>
      <c r="R7" s="89" t="s">
        <v>46</v>
      </c>
    </row>
    <row r="8" spans="1:18" ht="25.5" customHeight="1">
      <c r="A8" s="90" t="s">
        <v>47</v>
      </c>
      <c r="B8" s="135">
        <f>_xlfn.COMPOUNDVALUE(389)</f>
        <v>6026</v>
      </c>
      <c r="C8" s="136">
        <v>37514883</v>
      </c>
      <c r="D8" s="135">
        <f>_xlfn.COMPOUNDVALUE(390)</f>
        <v>3537</v>
      </c>
      <c r="E8" s="136">
        <v>1801302</v>
      </c>
      <c r="F8" s="135">
        <f>_xlfn.COMPOUNDVALUE(391)</f>
        <v>9563</v>
      </c>
      <c r="G8" s="136">
        <v>39316184</v>
      </c>
      <c r="H8" s="135">
        <f>_xlfn.COMPOUNDVALUE(392)</f>
        <v>376</v>
      </c>
      <c r="I8" s="137">
        <v>1022705</v>
      </c>
      <c r="J8" s="135">
        <v>758</v>
      </c>
      <c r="K8" s="137">
        <v>127976</v>
      </c>
      <c r="L8" s="135">
        <v>10107</v>
      </c>
      <c r="M8" s="137">
        <v>38421456</v>
      </c>
      <c r="N8" s="130">
        <v>9880</v>
      </c>
      <c r="O8" s="133">
        <v>225</v>
      </c>
      <c r="P8" s="133">
        <v>28</v>
      </c>
      <c r="Q8" s="134">
        <v>10133</v>
      </c>
      <c r="R8" s="91" t="s">
        <v>48</v>
      </c>
    </row>
    <row r="9" spans="1:18" ht="25.5" customHeight="1">
      <c r="A9" s="90" t="s">
        <v>49</v>
      </c>
      <c r="B9" s="135">
        <f>_xlfn.COMPOUNDVALUE(393)</f>
        <v>5139</v>
      </c>
      <c r="C9" s="136">
        <v>37992641</v>
      </c>
      <c r="D9" s="135">
        <f>_xlfn.COMPOUNDVALUE(394)</f>
        <v>3433</v>
      </c>
      <c r="E9" s="136">
        <v>1593395</v>
      </c>
      <c r="F9" s="135">
        <f>_xlfn.COMPOUNDVALUE(395)</f>
        <v>8572</v>
      </c>
      <c r="G9" s="136">
        <v>39586036</v>
      </c>
      <c r="H9" s="135">
        <f>_xlfn.COMPOUNDVALUE(396)</f>
        <v>407</v>
      </c>
      <c r="I9" s="137">
        <v>5479875</v>
      </c>
      <c r="J9" s="135">
        <v>558</v>
      </c>
      <c r="K9" s="137">
        <v>165097</v>
      </c>
      <c r="L9" s="135">
        <v>9079</v>
      </c>
      <c r="M9" s="137">
        <v>34271257</v>
      </c>
      <c r="N9" s="130">
        <v>8619</v>
      </c>
      <c r="O9" s="133">
        <v>265</v>
      </c>
      <c r="P9" s="133">
        <v>24</v>
      </c>
      <c r="Q9" s="134">
        <v>8908</v>
      </c>
      <c r="R9" s="91" t="s">
        <v>50</v>
      </c>
    </row>
    <row r="10" spans="1:18" ht="25.5" customHeight="1">
      <c r="A10" s="90" t="s">
        <v>51</v>
      </c>
      <c r="B10" s="135">
        <f>_xlfn.COMPOUNDVALUE(397)</f>
        <v>2678</v>
      </c>
      <c r="C10" s="136">
        <v>10913131</v>
      </c>
      <c r="D10" s="135">
        <f>_xlfn.COMPOUNDVALUE(398)</f>
        <v>2228</v>
      </c>
      <c r="E10" s="136">
        <v>987610</v>
      </c>
      <c r="F10" s="135">
        <f>_xlfn.COMPOUNDVALUE(399)</f>
        <v>4906</v>
      </c>
      <c r="G10" s="136">
        <v>11900741</v>
      </c>
      <c r="H10" s="135">
        <f>_xlfn.COMPOUNDVALUE(400)</f>
        <v>157</v>
      </c>
      <c r="I10" s="137">
        <v>474225</v>
      </c>
      <c r="J10" s="135">
        <v>408</v>
      </c>
      <c r="K10" s="137">
        <v>32527</v>
      </c>
      <c r="L10" s="135">
        <v>5117</v>
      </c>
      <c r="M10" s="137">
        <v>11459043</v>
      </c>
      <c r="N10" s="130">
        <v>4901</v>
      </c>
      <c r="O10" s="133">
        <v>139</v>
      </c>
      <c r="P10" s="133">
        <v>12</v>
      </c>
      <c r="Q10" s="134">
        <v>5052</v>
      </c>
      <c r="R10" s="91" t="s">
        <v>52</v>
      </c>
    </row>
    <row r="11" spans="1:18" ht="25.5" customHeight="1">
      <c r="A11" s="90" t="s">
        <v>53</v>
      </c>
      <c r="B11" s="135">
        <f>_xlfn.COMPOUNDVALUE(401)</f>
        <v>4020</v>
      </c>
      <c r="C11" s="136">
        <v>21930356</v>
      </c>
      <c r="D11" s="135">
        <f>_xlfn.COMPOUNDVALUE(402)</f>
        <v>3179</v>
      </c>
      <c r="E11" s="136">
        <v>1476517</v>
      </c>
      <c r="F11" s="135">
        <f>_xlfn.COMPOUNDVALUE(403)</f>
        <v>7199</v>
      </c>
      <c r="G11" s="136">
        <v>23406873</v>
      </c>
      <c r="H11" s="135">
        <f>_xlfn.COMPOUNDVALUE(404)</f>
        <v>309</v>
      </c>
      <c r="I11" s="137">
        <v>509982</v>
      </c>
      <c r="J11" s="135">
        <v>498</v>
      </c>
      <c r="K11" s="137">
        <v>61156</v>
      </c>
      <c r="L11" s="135">
        <v>7586</v>
      </c>
      <c r="M11" s="137">
        <v>22958047</v>
      </c>
      <c r="N11" s="130">
        <v>7358</v>
      </c>
      <c r="O11" s="133">
        <v>185</v>
      </c>
      <c r="P11" s="133">
        <v>23</v>
      </c>
      <c r="Q11" s="134">
        <v>7566</v>
      </c>
      <c r="R11" s="91" t="s">
        <v>54</v>
      </c>
    </row>
    <row r="12" spans="1:18" ht="25.5" customHeight="1">
      <c r="A12" s="90" t="s">
        <v>55</v>
      </c>
      <c r="B12" s="135">
        <f>_xlfn.COMPOUNDVALUE(405)</f>
        <v>4088</v>
      </c>
      <c r="C12" s="136">
        <v>18724500</v>
      </c>
      <c r="D12" s="135">
        <f>_xlfn.COMPOUNDVALUE(406)</f>
        <v>2882</v>
      </c>
      <c r="E12" s="136">
        <v>1332928</v>
      </c>
      <c r="F12" s="135">
        <f>_xlfn.COMPOUNDVALUE(407)</f>
        <v>6970</v>
      </c>
      <c r="G12" s="136">
        <v>20057427</v>
      </c>
      <c r="H12" s="135">
        <f>_xlfn.COMPOUNDVALUE(408)</f>
        <v>276</v>
      </c>
      <c r="I12" s="137">
        <v>929121</v>
      </c>
      <c r="J12" s="135">
        <v>549</v>
      </c>
      <c r="K12" s="137">
        <v>66870</v>
      </c>
      <c r="L12" s="135">
        <v>7304</v>
      </c>
      <c r="M12" s="137">
        <v>19195176</v>
      </c>
      <c r="N12" s="130">
        <v>7025</v>
      </c>
      <c r="O12" s="133">
        <v>166</v>
      </c>
      <c r="P12" s="133">
        <v>15</v>
      </c>
      <c r="Q12" s="134">
        <v>7206</v>
      </c>
      <c r="R12" s="91" t="s">
        <v>56</v>
      </c>
    </row>
    <row r="13" spans="1:18" ht="25.5" customHeight="1">
      <c r="A13" s="195" t="s">
        <v>57</v>
      </c>
      <c r="B13" s="196">
        <f>_xlfn.COMPOUNDVALUE(409)</f>
        <v>1718</v>
      </c>
      <c r="C13" s="197">
        <v>10131762</v>
      </c>
      <c r="D13" s="196">
        <f>_xlfn.COMPOUNDVALUE(410)</f>
        <v>1335</v>
      </c>
      <c r="E13" s="197">
        <v>603405</v>
      </c>
      <c r="F13" s="196">
        <f>_xlfn.COMPOUNDVALUE(411)</f>
        <v>3053</v>
      </c>
      <c r="G13" s="197">
        <v>10735167</v>
      </c>
      <c r="H13" s="196">
        <f>_xlfn.COMPOUNDVALUE(412)</f>
        <v>98</v>
      </c>
      <c r="I13" s="198">
        <v>260351</v>
      </c>
      <c r="J13" s="196">
        <v>226</v>
      </c>
      <c r="K13" s="198">
        <v>41039</v>
      </c>
      <c r="L13" s="196">
        <v>3189</v>
      </c>
      <c r="M13" s="198">
        <v>10515854</v>
      </c>
      <c r="N13" s="199">
        <v>3043</v>
      </c>
      <c r="O13" s="200">
        <v>76</v>
      </c>
      <c r="P13" s="200">
        <v>9</v>
      </c>
      <c r="Q13" s="201">
        <v>3128</v>
      </c>
      <c r="R13" s="202" t="s">
        <v>58</v>
      </c>
    </row>
    <row r="14" spans="1:18" ht="25.5" customHeight="1">
      <c r="A14" s="203" t="s">
        <v>59</v>
      </c>
      <c r="B14" s="204">
        <v>30248</v>
      </c>
      <c r="C14" s="205">
        <v>170649566</v>
      </c>
      <c r="D14" s="204">
        <v>20799</v>
      </c>
      <c r="E14" s="205">
        <v>9854473</v>
      </c>
      <c r="F14" s="204">
        <v>51047</v>
      </c>
      <c r="G14" s="205">
        <v>180504038</v>
      </c>
      <c r="H14" s="204">
        <v>2094</v>
      </c>
      <c r="I14" s="206">
        <v>10135443</v>
      </c>
      <c r="J14" s="204">
        <v>3876</v>
      </c>
      <c r="K14" s="206">
        <v>753135</v>
      </c>
      <c r="L14" s="204">
        <v>53800</v>
      </c>
      <c r="M14" s="206">
        <v>171121731</v>
      </c>
      <c r="N14" s="204">
        <v>51946</v>
      </c>
      <c r="O14" s="207">
        <v>1303</v>
      </c>
      <c r="P14" s="207">
        <v>140</v>
      </c>
      <c r="Q14" s="208">
        <v>53389</v>
      </c>
      <c r="R14" s="209" t="s">
        <v>60</v>
      </c>
    </row>
    <row r="15" spans="1:18" ht="25.5" customHeight="1">
      <c r="A15" s="210"/>
      <c r="B15" s="211"/>
      <c r="C15" s="212"/>
      <c r="D15" s="211"/>
      <c r="E15" s="212"/>
      <c r="F15" s="213"/>
      <c r="G15" s="212"/>
      <c r="H15" s="213"/>
      <c r="I15" s="212"/>
      <c r="J15" s="213"/>
      <c r="K15" s="212"/>
      <c r="L15" s="213"/>
      <c r="M15" s="212"/>
      <c r="N15" s="214"/>
      <c r="O15" s="215"/>
      <c r="P15" s="215"/>
      <c r="Q15" s="216"/>
      <c r="R15" s="217" t="s">
        <v>44</v>
      </c>
    </row>
    <row r="16" spans="1:18" ht="25.5" customHeight="1">
      <c r="A16" s="88" t="s">
        <v>61</v>
      </c>
      <c r="B16" s="130">
        <f>_xlfn.COMPOUNDVALUE(413)</f>
        <v>7210</v>
      </c>
      <c r="C16" s="131">
        <v>52500045</v>
      </c>
      <c r="D16" s="130">
        <f>_xlfn.COMPOUNDVALUE(414)</f>
        <v>5656</v>
      </c>
      <c r="E16" s="131">
        <v>2895791</v>
      </c>
      <c r="F16" s="130">
        <f>_xlfn.COMPOUNDVALUE(415)</f>
        <v>12866</v>
      </c>
      <c r="G16" s="131">
        <v>55395836</v>
      </c>
      <c r="H16" s="130">
        <f>_xlfn.COMPOUNDVALUE(416)</f>
        <v>464</v>
      </c>
      <c r="I16" s="132">
        <v>2773647</v>
      </c>
      <c r="J16" s="130">
        <v>1010</v>
      </c>
      <c r="K16" s="132">
        <v>161684</v>
      </c>
      <c r="L16" s="130">
        <v>13504</v>
      </c>
      <c r="M16" s="132">
        <v>52783872</v>
      </c>
      <c r="N16" s="130">
        <v>13256</v>
      </c>
      <c r="O16" s="133">
        <v>318</v>
      </c>
      <c r="P16" s="133">
        <v>38</v>
      </c>
      <c r="Q16" s="134">
        <v>13612</v>
      </c>
      <c r="R16" s="89" t="s">
        <v>62</v>
      </c>
    </row>
    <row r="17" spans="1:18" ht="25.5" customHeight="1">
      <c r="A17" s="88" t="s">
        <v>63</v>
      </c>
      <c r="B17" s="130">
        <f>_xlfn.COMPOUNDVALUE(417)</f>
        <v>3276</v>
      </c>
      <c r="C17" s="131">
        <v>20695718</v>
      </c>
      <c r="D17" s="130">
        <f>_xlfn.COMPOUNDVALUE(418)</f>
        <v>2702</v>
      </c>
      <c r="E17" s="131">
        <v>1274101</v>
      </c>
      <c r="F17" s="130">
        <f>_xlfn.COMPOUNDVALUE(419)</f>
        <v>5978</v>
      </c>
      <c r="G17" s="131">
        <v>21969819</v>
      </c>
      <c r="H17" s="130">
        <f>_xlfn.COMPOUNDVALUE(420)</f>
        <v>256</v>
      </c>
      <c r="I17" s="132">
        <v>1522880</v>
      </c>
      <c r="J17" s="130">
        <v>506</v>
      </c>
      <c r="K17" s="132">
        <v>27218</v>
      </c>
      <c r="L17" s="130">
        <v>6293</v>
      </c>
      <c r="M17" s="132">
        <v>20474156</v>
      </c>
      <c r="N17" s="130">
        <v>6323</v>
      </c>
      <c r="O17" s="133">
        <v>136</v>
      </c>
      <c r="P17" s="133">
        <v>15</v>
      </c>
      <c r="Q17" s="134">
        <v>6474</v>
      </c>
      <c r="R17" s="91" t="s">
        <v>64</v>
      </c>
    </row>
    <row r="18" spans="1:18" ht="25.5" customHeight="1">
      <c r="A18" s="88" t="s">
        <v>65</v>
      </c>
      <c r="B18" s="130">
        <f>_xlfn.COMPOUNDVALUE(421)</f>
        <v>6996</v>
      </c>
      <c r="C18" s="131">
        <v>43224310</v>
      </c>
      <c r="D18" s="130">
        <f>_xlfn.COMPOUNDVALUE(422)</f>
        <v>5963</v>
      </c>
      <c r="E18" s="131">
        <v>2920131</v>
      </c>
      <c r="F18" s="130">
        <f>_xlfn.COMPOUNDVALUE(423)</f>
        <v>12959</v>
      </c>
      <c r="G18" s="131">
        <v>46144442</v>
      </c>
      <c r="H18" s="130">
        <f>_xlfn.COMPOUNDVALUE(424)</f>
        <v>644</v>
      </c>
      <c r="I18" s="132">
        <v>6358049</v>
      </c>
      <c r="J18" s="130">
        <v>924</v>
      </c>
      <c r="K18" s="132">
        <v>105612</v>
      </c>
      <c r="L18" s="130">
        <v>13734</v>
      </c>
      <c r="M18" s="132">
        <v>39892005</v>
      </c>
      <c r="N18" s="130">
        <v>13538</v>
      </c>
      <c r="O18" s="133">
        <v>446</v>
      </c>
      <c r="P18" s="133">
        <v>38</v>
      </c>
      <c r="Q18" s="134">
        <v>14022</v>
      </c>
      <c r="R18" s="91" t="s">
        <v>66</v>
      </c>
    </row>
    <row r="19" spans="1:18" ht="25.5" customHeight="1">
      <c r="A19" s="88" t="s">
        <v>67</v>
      </c>
      <c r="B19" s="130">
        <f>_xlfn.COMPOUNDVALUE(425)</f>
        <v>5009</v>
      </c>
      <c r="C19" s="131">
        <v>26194484</v>
      </c>
      <c r="D19" s="130">
        <f>_xlfn.COMPOUNDVALUE(426)</f>
        <v>3516</v>
      </c>
      <c r="E19" s="131">
        <v>1649981</v>
      </c>
      <c r="F19" s="130">
        <f>_xlfn.COMPOUNDVALUE(427)</f>
        <v>8525</v>
      </c>
      <c r="G19" s="131">
        <v>27844465</v>
      </c>
      <c r="H19" s="130">
        <f>_xlfn.COMPOUNDVALUE(428)</f>
        <v>353</v>
      </c>
      <c r="I19" s="132">
        <v>18453619</v>
      </c>
      <c r="J19" s="130">
        <v>550</v>
      </c>
      <c r="K19" s="132">
        <v>212699</v>
      </c>
      <c r="L19" s="130">
        <v>8967</v>
      </c>
      <c r="M19" s="132">
        <v>9603545</v>
      </c>
      <c r="N19" s="130">
        <v>9243</v>
      </c>
      <c r="O19" s="133">
        <v>246</v>
      </c>
      <c r="P19" s="133">
        <v>21</v>
      </c>
      <c r="Q19" s="134">
        <v>9510</v>
      </c>
      <c r="R19" s="91" t="s">
        <v>68</v>
      </c>
    </row>
    <row r="20" spans="1:18" ht="25.5" customHeight="1">
      <c r="A20" s="88" t="s">
        <v>69</v>
      </c>
      <c r="B20" s="130">
        <f>_xlfn.COMPOUNDVALUE(429)</f>
        <v>5523</v>
      </c>
      <c r="C20" s="131">
        <v>36058310</v>
      </c>
      <c r="D20" s="130">
        <f>_xlfn.COMPOUNDVALUE(430)</f>
        <v>4339</v>
      </c>
      <c r="E20" s="131">
        <v>2219564</v>
      </c>
      <c r="F20" s="130">
        <f>_xlfn.COMPOUNDVALUE(431)</f>
        <v>9862</v>
      </c>
      <c r="G20" s="131">
        <v>38277874</v>
      </c>
      <c r="H20" s="130">
        <f>_xlfn.COMPOUNDVALUE(432)</f>
        <v>293</v>
      </c>
      <c r="I20" s="132">
        <v>1880124</v>
      </c>
      <c r="J20" s="130">
        <v>643</v>
      </c>
      <c r="K20" s="132">
        <v>96413</v>
      </c>
      <c r="L20" s="130">
        <v>10310</v>
      </c>
      <c r="M20" s="132">
        <v>36494163</v>
      </c>
      <c r="N20" s="130">
        <v>10248</v>
      </c>
      <c r="O20" s="133">
        <v>243</v>
      </c>
      <c r="P20" s="133">
        <v>28</v>
      </c>
      <c r="Q20" s="134">
        <v>10519</v>
      </c>
      <c r="R20" s="91" t="s">
        <v>70</v>
      </c>
    </row>
    <row r="21" spans="1:18" ht="25.5" customHeight="1">
      <c r="A21" s="88" t="s">
        <v>71</v>
      </c>
      <c r="B21" s="130">
        <f>_xlfn.COMPOUNDVALUE(433)</f>
        <v>1722</v>
      </c>
      <c r="C21" s="131">
        <v>5638911</v>
      </c>
      <c r="D21" s="130">
        <f>_xlfn.COMPOUNDVALUE(434)</f>
        <v>1512</v>
      </c>
      <c r="E21" s="131">
        <v>707528</v>
      </c>
      <c r="F21" s="130">
        <f>_xlfn.COMPOUNDVALUE(435)</f>
        <v>3234</v>
      </c>
      <c r="G21" s="131">
        <v>6346439</v>
      </c>
      <c r="H21" s="130">
        <f>_xlfn.COMPOUNDVALUE(436)</f>
        <v>110</v>
      </c>
      <c r="I21" s="132">
        <v>219692</v>
      </c>
      <c r="J21" s="130">
        <v>207</v>
      </c>
      <c r="K21" s="132">
        <v>81908</v>
      </c>
      <c r="L21" s="130">
        <v>3412</v>
      </c>
      <c r="M21" s="132">
        <v>6208655</v>
      </c>
      <c r="N21" s="130">
        <v>3404</v>
      </c>
      <c r="O21" s="133">
        <v>95</v>
      </c>
      <c r="P21" s="133">
        <v>12</v>
      </c>
      <c r="Q21" s="134">
        <v>3511</v>
      </c>
      <c r="R21" s="91" t="s">
        <v>72</v>
      </c>
    </row>
    <row r="22" spans="1:18" ht="25.5" customHeight="1">
      <c r="A22" s="90" t="s">
        <v>73</v>
      </c>
      <c r="B22" s="135">
        <f>_xlfn.COMPOUNDVALUE(437)</f>
        <v>2697</v>
      </c>
      <c r="C22" s="136">
        <v>11791820</v>
      </c>
      <c r="D22" s="135">
        <f>_xlfn.COMPOUNDVALUE(438)</f>
        <v>2670</v>
      </c>
      <c r="E22" s="136">
        <v>1247972</v>
      </c>
      <c r="F22" s="135">
        <f>_xlfn.COMPOUNDVALUE(439)</f>
        <v>5367</v>
      </c>
      <c r="G22" s="136">
        <v>13039792</v>
      </c>
      <c r="H22" s="135">
        <f>_xlfn.COMPOUNDVALUE(440)</f>
        <v>123</v>
      </c>
      <c r="I22" s="137">
        <v>297749</v>
      </c>
      <c r="J22" s="135">
        <v>450</v>
      </c>
      <c r="K22" s="137">
        <v>35620</v>
      </c>
      <c r="L22" s="135">
        <v>5561</v>
      </c>
      <c r="M22" s="137">
        <v>12777663</v>
      </c>
      <c r="N22" s="130">
        <v>5722</v>
      </c>
      <c r="O22" s="133">
        <v>131</v>
      </c>
      <c r="P22" s="133">
        <v>10</v>
      </c>
      <c r="Q22" s="134">
        <v>5863</v>
      </c>
      <c r="R22" s="91" t="s">
        <v>74</v>
      </c>
    </row>
    <row r="23" spans="1:18" ht="25.5" customHeight="1">
      <c r="A23" s="90" t="s">
        <v>75</v>
      </c>
      <c r="B23" s="135">
        <f>_xlfn.COMPOUNDVALUE(441)</f>
        <v>2505</v>
      </c>
      <c r="C23" s="136">
        <v>12875476</v>
      </c>
      <c r="D23" s="135">
        <f>_xlfn.COMPOUNDVALUE(442)</f>
        <v>2187</v>
      </c>
      <c r="E23" s="136">
        <v>951399</v>
      </c>
      <c r="F23" s="135">
        <f>_xlfn.COMPOUNDVALUE(443)</f>
        <v>4692</v>
      </c>
      <c r="G23" s="136">
        <v>13826876</v>
      </c>
      <c r="H23" s="135">
        <f>_xlfn.COMPOUNDVALUE(444)</f>
        <v>139</v>
      </c>
      <c r="I23" s="137">
        <v>1984665</v>
      </c>
      <c r="J23" s="135">
        <v>268</v>
      </c>
      <c r="K23" s="137">
        <v>24224</v>
      </c>
      <c r="L23" s="135">
        <v>4877</v>
      </c>
      <c r="M23" s="137">
        <v>11866435</v>
      </c>
      <c r="N23" s="130">
        <v>4840</v>
      </c>
      <c r="O23" s="133">
        <v>110</v>
      </c>
      <c r="P23" s="133">
        <v>10</v>
      </c>
      <c r="Q23" s="134">
        <v>4960</v>
      </c>
      <c r="R23" s="91" t="s">
        <v>76</v>
      </c>
    </row>
    <row r="24" spans="1:18" ht="25.5" customHeight="1">
      <c r="A24" s="90" t="s">
        <v>77</v>
      </c>
      <c r="B24" s="135">
        <f>_xlfn.COMPOUNDVALUE(445)</f>
        <v>5165</v>
      </c>
      <c r="C24" s="136">
        <v>28368859</v>
      </c>
      <c r="D24" s="135">
        <f>_xlfn.COMPOUNDVALUE(446)</f>
        <v>4158</v>
      </c>
      <c r="E24" s="136">
        <v>2054437</v>
      </c>
      <c r="F24" s="135">
        <f>_xlfn.COMPOUNDVALUE(447)</f>
        <v>9323</v>
      </c>
      <c r="G24" s="136">
        <v>30423295</v>
      </c>
      <c r="H24" s="135">
        <f>_xlfn.COMPOUNDVALUE(448)</f>
        <v>294</v>
      </c>
      <c r="I24" s="137">
        <v>5689051</v>
      </c>
      <c r="J24" s="135">
        <v>771</v>
      </c>
      <c r="K24" s="137">
        <v>192215</v>
      </c>
      <c r="L24" s="135">
        <v>9829</v>
      </c>
      <c r="M24" s="137">
        <v>24926460</v>
      </c>
      <c r="N24" s="130">
        <v>9723</v>
      </c>
      <c r="O24" s="133">
        <v>217</v>
      </c>
      <c r="P24" s="133">
        <v>23</v>
      </c>
      <c r="Q24" s="134">
        <v>9963</v>
      </c>
      <c r="R24" s="91" t="s">
        <v>78</v>
      </c>
    </row>
    <row r="25" spans="1:18" ht="25.5" customHeight="1">
      <c r="A25" s="90" t="s">
        <v>79</v>
      </c>
      <c r="B25" s="135">
        <f>_xlfn.COMPOUNDVALUE(449)</f>
        <v>3045</v>
      </c>
      <c r="C25" s="136">
        <v>18607320</v>
      </c>
      <c r="D25" s="135">
        <f>_xlfn.COMPOUNDVALUE(450)</f>
        <v>2685</v>
      </c>
      <c r="E25" s="136">
        <v>1222606</v>
      </c>
      <c r="F25" s="135">
        <f>_xlfn.COMPOUNDVALUE(451)</f>
        <v>5730</v>
      </c>
      <c r="G25" s="136">
        <v>19829925</v>
      </c>
      <c r="H25" s="135">
        <f>_xlfn.COMPOUNDVALUE(452)</f>
        <v>218</v>
      </c>
      <c r="I25" s="137">
        <v>19354231</v>
      </c>
      <c r="J25" s="135">
        <v>301</v>
      </c>
      <c r="K25" s="137">
        <v>68924</v>
      </c>
      <c r="L25" s="135">
        <v>6005</v>
      </c>
      <c r="M25" s="137">
        <v>544617</v>
      </c>
      <c r="N25" s="130">
        <v>6317</v>
      </c>
      <c r="O25" s="133">
        <v>158</v>
      </c>
      <c r="P25" s="133">
        <v>15</v>
      </c>
      <c r="Q25" s="134">
        <v>6490</v>
      </c>
      <c r="R25" s="91" t="s">
        <v>80</v>
      </c>
    </row>
    <row r="26" spans="1:18" ht="25.5" customHeight="1">
      <c r="A26" s="90" t="s">
        <v>81</v>
      </c>
      <c r="B26" s="135">
        <f>_xlfn.COMPOUNDVALUE(453)</f>
        <v>2375</v>
      </c>
      <c r="C26" s="136">
        <v>10235444</v>
      </c>
      <c r="D26" s="135">
        <f>_xlfn.COMPOUNDVALUE(454)</f>
        <v>2113</v>
      </c>
      <c r="E26" s="136">
        <v>950565</v>
      </c>
      <c r="F26" s="135">
        <f>_xlfn.COMPOUNDVALUE(455)</f>
        <v>4488</v>
      </c>
      <c r="G26" s="136">
        <v>11186009</v>
      </c>
      <c r="H26" s="135">
        <f>_xlfn.COMPOUNDVALUE(456)</f>
        <v>159</v>
      </c>
      <c r="I26" s="137">
        <v>1475017</v>
      </c>
      <c r="J26" s="135">
        <v>238</v>
      </c>
      <c r="K26" s="137">
        <v>29357</v>
      </c>
      <c r="L26" s="135">
        <v>4685</v>
      </c>
      <c r="M26" s="137">
        <v>9740348</v>
      </c>
      <c r="N26" s="130">
        <v>4566</v>
      </c>
      <c r="O26" s="133">
        <v>134</v>
      </c>
      <c r="P26" s="133">
        <v>9</v>
      </c>
      <c r="Q26" s="134">
        <v>4709</v>
      </c>
      <c r="R26" s="91" t="s">
        <v>82</v>
      </c>
    </row>
    <row r="27" spans="1:18" ht="25.5" customHeight="1">
      <c r="A27" s="90" t="s">
        <v>83</v>
      </c>
      <c r="B27" s="135">
        <f>_xlfn.COMPOUNDVALUE(457)</f>
        <v>3496</v>
      </c>
      <c r="C27" s="136">
        <v>17384306</v>
      </c>
      <c r="D27" s="135">
        <f>_xlfn.COMPOUNDVALUE(458)</f>
        <v>2741</v>
      </c>
      <c r="E27" s="136">
        <v>1279754</v>
      </c>
      <c r="F27" s="135">
        <f>_xlfn.COMPOUNDVALUE(459)</f>
        <v>6237</v>
      </c>
      <c r="G27" s="136">
        <v>18664060</v>
      </c>
      <c r="H27" s="135">
        <f>_xlfn.COMPOUNDVALUE(460)</f>
        <v>257</v>
      </c>
      <c r="I27" s="137">
        <v>770140</v>
      </c>
      <c r="J27" s="135">
        <v>407</v>
      </c>
      <c r="K27" s="137">
        <v>31200</v>
      </c>
      <c r="L27" s="135">
        <v>6537</v>
      </c>
      <c r="M27" s="137">
        <v>17925120</v>
      </c>
      <c r="N27" s="130">
        <v>6337</v>
      </c>
      <c r="O27" s="133">
        <v>113</v>
      </c>
      <c r="P27" s="133">
        <v>20</v>
      </c>
      <c r="Q27" s="134">
        <v>6470</v>
      </c>
      <c r="R27" s="91" t="s">
        <v>84</v>
      </c>
    </row>
    <row r="28" spans="1:18" ht="25.5" customHeight="1">
      <c r="A28" s="195" t="s">
        <v>85</v>
      </c>
      <c r="B28" s="196">
        <f>_xlfn.COMPOUNDVALUE(461)</f>
        <v>1027</v>
      </c>
      <c r="C28" s="197">
        <v>2892802</v>
      </c>
      <c r="D28" s="196">
        <f>_xlfn.COMPOUNDVALUE(462)</f>
        <v>905</v>
      </c>
      <c r="E28" s="197">
        <v>382782</v>
      </c>
      <c r="F28" s="196">
        <f>_xlfn.COMPOUNDVALUE(463)</f>
        <v>1932</v>
      </c>
      <c r="G28" s="197">
        <v>3275584</v>
      </c>
      <c r="H28" s="196">
        <f>_xlfn.COMPOUNDVALUE(464)</f>
        <v>53</v>
      </c>
      <c r="I28" s="198">
        <v>33849</v>
      </c>
      <c r="J28" s="196">
        <v>170</v>
      </c>
      <c r="K28" s="198">
        <v>13867</v>
      </c>
      <c r="L28" s="196">
        <v>2002</v>
      </c>
      <c r="M28" s="198">
        <v>3255603</v>
      </c>
      <c r="N28" s="196">
        <v>1956</v>
      </c>
      <c r="O28" s="218">
        <v>42</v>
      </c>
      <c r="P28" s="218">
        <v>2</v>
      </c>
      <c r="Q28" s="219">
        <v>2000</v>
      </c>
      <c r="R28" s="202" t="s">
        <v>86</v>
      </c>
    </row>
    <row r="29" spans="1:18" ht="25.5" customHeight="1">
      <c r="A29" s="203" t="s">
        <v>87</v>
      </c>
      <c r="B29" s="204">
        <v>50046</v>
      </c>
      <c r="C29" s="205">
        <v>286467803</v>
      </c>
      <c r="D29" s="204">
        <v>41147</v>
      </c>
      <c r="E29" s="205">
        <v>19756610</v>
      </c>
      <c r="F29" s="204">
        <v>91193</v>
      </c>
      <c r="G29" s="205">
        <v>306224414</v>
      </c>
      <c r="H29" s="204">
        <v>3363</v>
      </c>
      <c r="I29" s="206">
        <v>60812714</v>
      </c>
      <c r="J29" s="204">
        <v>6445</v>
      </c>
      <c r="K29" s="206">
        <v>1080941</v>
      </c>
      <c r="L29" s="204">
        <v>95716</v>
      </c>
      <c r="M29" s="206">
        <v>246492640</v>
      </c>
      <c r="N29" s="204">
        <v>95473</v>
      </c>
      <c r="O29" s="207">
        <v>2389</v>
      </c>
      <c r="P29" s="207">
        <v>241</v>
      </c>
      <c r="Q29" s="208">
        <v>98103</v>
      </c>
      <c r="R29" s="209" t="s">
        <v>88</v>
      </c>
    </row>
    <row r="30" spans="1:18" ht="25.5" customHeight="1">
      <c r="A30" s="210"/>
      <c r="B30" s="211"/>
      <c r="C30" s="212"/>
      <c r="D30" s="211"/>
      <c r="E30" s="212"/>
      <c r="F30" s="213"/>
      <c r="G30" s="212"/>
      <c r="H30" s="213"/>
      <c r="I30" s="212"/>
      <c r="J30" s="213"/>
      <c r="K30" s="212"/>
      <c r="L30" s="213"/>
      <c r="M30" s="212"/>
      <c r="N30" s="214"/>
      <c r="O30" s="215"/>
      <c r="P30" s="215"/>
      <c r="Q30" s="216"/>
      <c r="R30" s="217" t="s">
        <v>44</v>
      </c>
    </row>
    <row r="31" spans="1:18" ht="25.5" customHeight="1">
      <c r="A31" s="88" t="s">
        <v>89</v>
      </c>
      <c r="B31" s="130">
        <f>_xlfn.COMPOUNDVALUE(465)</f>
        <v>4756</v>
      </c>
      <c r="C31" s="131">
        <v>28559031</v>
      </c>
      <c r="D31" s="130">
        <f>_xlfn.COMPOUNDVALUE(466)</f>
        <v>3196</v>
      </c>
      <c r="E31" s="131">
        <v>1903008</v>
      </c>
      <c r="F31" s="130">
        <f>_xlfn.COMPOUNDVALUE(467)</f>
        <v>7952</v>
      </c>
      <c r="G31" s="131">
        <v>30462039</v>
      </c>
      <c r="H31" s="130">
        <f>_xlfn.COMPOUNDVALUE(468)</f>
        <v>463</v>
      </c>
      <c r="I31" s="132">
        <v>1427298</v>
      </c>
      <c r="J31" s="130">
        <v>679</v>
      </c>
      <c r="K31" s="132">
        <v>120551</v>
      </c>
      <c r="L31" s="130">
        <v>8539</v>
      </c>
      <c r="M31" s="132">
        <v>29155292</v>
      </c>
      <c r="N31" s="130">
        <v>8615</v>
      </c>
      <c r="O31" s="133">
        <v>314</v>
      </c>
      <c r="P31" s="133">
        <v>41</v>
      </c>
      <c r="Q31" s="134">
        <v>8970</v>
      </c>
      <c r="R31" s="89" t="s">
        <v>90</v>
      </c>
    </row>
    <row r="32" spans="1:18" ht="25.5" customHeight="1">
      <c r="A32" s="88" t="s">
        <v>91</v>
      </c>
      <c r="B32" s="130">
        <f>_xlfn.COMPOUNDVALUE(469)</f>
        <v>2575</v>
      </c>
      <c r="C32" s="131">
        <v>96904383</v>
      </c>
      <c r="D32" s="130">
        <f>_xlfn.COMPOUNDVALUE(470)</f>
        <v>1173</v>
      </c>
      <c r="E32" s="131">
        <v>715589</v>
      </c>
      <c r="F32" s="130">
        <f>_xlfn.COMPOUNDVALUE(471)</f>
        <v>3748</v>
      </c>
      <c r="G32" s="131">
        <v>97619971</v>
      </c>
      <c r="H32" s="130">
        <f>_xlfn.COMPOUNDVALUE(472)</f>
        <v>348</v>
      </c>
      <c r="I32" s="132">
        <v>24084547</v>
      </c>
      <c r="J32" s="130">
        <v>297</v>
      </c>
      <c r="K32" s="132">
        <v>396202</v>
      </c>
      <c r="L32" s="130">
        <v>4137</v>
      </c>
      <c r="M32" s="132">
        <v>73931625</v>
      </c>
      <c r="N32" s="135">
        <v>4171</v>
      </c>
      <c r="O32" s="138">
        <v>160</v>
      </c>
      <c r="P32" s="138">
        <v>38</v>
      </c>
      <c r="Q32" s="139">
        <v>4369</v>
      </c>
      <c r="R32" s="91" t="s">
        <v>92</v>
      </c>
    </row>
    <row r="33" spans="1:18" ht="25.5" customHeight="1">
      <c r="A33" s="88" t="s">
        <v>93</v>
      </c>
      <c r="B33" s="130">
        <f>_xlfn.COMPOUNDVALUE(473)</f>
        <v>5060</v>
      </c>
      <c r="C33" s="131">
        <v>28634842</v>
      </c>
      <c r="D33" s="130">
        <f>_xlfn.COMPOUNDVALUE(474)</f>
        <v>2995</v>
      </c>
      <c r="E33" s="131">
        <v>1532796</v>
      </c>
      <c r="F33" s="130">
        <f>_xlfn.COMPOUNDVALUE(475)</f>
        <v>8055</v>
      </c>
      <c r="G33" s="131">
        <v>30167638</v>
      </c>
      <c r="H33" s="130">
        <f>_xlfn.COMPOUNDVALUE(476)</f>
        <v>357</v>
      </c>
      <c r="I33" s="132">
        <v>879567</v>
      </c>
      <c r="J33" s="130">
        <v>652</v>
      </c>
      <c r="K33" s="132">
        <v>167390</v>
      </c>
      <c r="L33" s="130">
        <v>8566</v>
      </c>
      <c r="M33" s="132">
        <v>29455460</v>
      </c>
      <c r="N33" s="135">
        <v>8498</v>
      </c>
      <c r="O33" s="138">
        <v>214</v>
      </c>
      <c r="P33" s="138">
        <v>28</v>
      </c>
      <c r="Q33" s="139">
        <v>8740</v>
      </c>
      <c r="R33" s="91" t="s">
        <v>94</v>
      </c>
    </row>
    <row r="34" spans="1:18" ht="25.5" customHeight="1">
      <c r="A34" s="88" t="s">
        <v>95</v>
      </c>
      <c r="B34" s="130">
        <f>_xlfn.COMPOUNDVALUE(477)</f>
        <v>5820</v>
      </c>
      <c r="C34" s="131">
        <v>43957622</v>
      </c>
      <c r="D34" s="130">
        <f>_xlfn.COMPOUNDVALUE(478)</f>
        <v>3068</v>
      </c>
      <c r="E34" s="131">
        <v>1618532</v>
      </c>
      <c r="F34" s="130">
        <f>_xlfn.COMPOUNDVALUE(479)</f>
        <v>8888</v>
      </c>
      <c r="G34" s="131">
        <v>45576154</v>
      </c>
      <c r="H34" s="130">
        <f>_xlfn.COMPOUNDVALUE(480)</f>
        <v>402</v>
      </c>
      <c r="I34" s="132">
        <v>1438768</v>
      </c>
      <c r="J34" s="130">
        <v>616</v>
      </c>
      <c r="K34" s="132">
        <v>89399</v>
      </c>
      <c r="L34" s="130">
        <v>9442</v>
      </c>
      <c r="M34" s="132">
        <v>44226785</v>
      </c>
      <c r="N34" s="135">
        <v>9476</v>
      </c>
      <c r="O34" s="138">
        <v>199</v>
      </c>
      <c r="P34" s="138">
        <v>42</v>
      </c>
      <c r="Q34" s="139">
        <v>9717</v>
      </c>
      <c r="R34" s="91" t="s">
        <v>96</v>
      </c>
    </row>
    <row r="35" spans="1:18" ht="25.5" customHeight="1">
      <c r="A35" s="92" t="s">
        <v>97</v>
      </c>
      <c r="B35" s="130">
        <f>_xlfn.COMPOUNDVALUE(481)</f>
        <v>3717</v>
      </c>
      <c r="C35" s="131">
        <v>108202239</v>
      </c>
      <c r="D35" s="130">
        <f>_xlfn.COMPOUNDVALUE(482)</f>
        <v>1675</v>
      </c>
      <c r="E35" s="131">
        <v>989427</v>
      </c>
      <c r="F35" s="130">
        <f>_xlfn.COMPOUNDVALUE(483)</f>
        <v>5392</v>
      </c>
      <c r="G35" s="131">
        <v>109191666</v>
      </c>
      <c r="H35" s="130">
        <f>_xlfn.COMPOUNDVALUE(484)</f>
        <v>407</v>
      </c>
      <c r="I35" s="132">
        <v>69317886</v>
      </c>
      <c r="J35" s="130">
        <v>466</v>
      </c>
      <c r="K35" s="132">
        <v>207428</v>
      </c>
      <c r="L35" s="130">
        <v>5861</v>
      </c>
      <c r="M35" s="132">
        <v>40081208</v>
      </c>
      <c r="N35" s="135">
        <v>5692</v>
      </c>
      <c r="O35" s="138">
        <v>181</v>
      </c>
      <c r="P35" s="138">
        <v>48</v>
      </c>
      <c r="Q35" s="139">
        <v>5921</v>
      </c>
      <c r="R35" s="93" t="s">
        <v>98</v>
      </c>
    </row>
    <row r="36" spans="1:18" ht="25.5" customHeight="1">
      <c r="A36" s="88" t="s">
        <v>99</v>
      </c>
      <c r="B36" s="130">
        <f>_xlfn.COMPOUNDVALUE(485)</f>
        <v>7224</v>
      </c>
      <c r="C36" s="131">
        <v>120727099</v>
      </c>
      <c r="D36" s="130">
        <f>_xlfn.COMPOUNDVALUE(486)</f>
        <v>2708</v>
      </c>
      <c r="E36" s="131">
        <v>1816474</v>
      </c>
      <c r="F36" s="130">
        <f>_xlfn.COMPOUNDVALUE(487)</f>
        <v>9932</v>
      </c>
      <c r="G36" s="131">
        <v>122543573</v>
      </c>
      <c r="H36" s="130">
        <f>_xlfn.COMPOUNDVALUE(488)</f>
        <v>834</v>
      </c>
      <c r="I36" s="132">
        <v>11429447</v>
      </c>
      <c r="J36" s="130">
        <v>975</v>
      </c>
      <c r="K36" s="132">
        <v>179013</v>
      </c>
      <c r="L36" s="130">
        <v>10960</v>
      </c>
      <c r="M36" s="132">
        <v>111293139</v>
      </c>
      <c r="N36" s="135">
        <v>10897</v>
      </c>
      <c r="O36" s="138">
        <v>449</v>
      </c>
      <c r="P36" s="138">
        <v>120</v>
      </c>
      <c r="Q36" s="139">
        <v>11466</v>
      </c>
      <c r="R36" s="91" t="s">
        <v>100</v>
      </c>
    </row>
    <row r="37" spans="1:18" ht="25.5" customHeight="1">
      <c r="A37" s="88" t="s">
        <v>101</v>
      </c>
      <c r="B37" s="130">
        <f>_xlfn.COMPOUNDVALUE(489)</f>
        <v>7725</v>
      </c>
      <c r="C37" s="131">
        <v>53453387</v>
      </c>
      <c r="D37" s="130">
        <f>_xlfn.COMPOUNDVALUE(490)</f>
        <v>5054</v>
      </c>
      <c r="E37" s="131">
        <v>2807272</v>
      </c>
      <c r="F37" s="130">
        <f>_xlfn.COMPOUNDVALUE(491)</f>
        <v>12779</v>
      </c>
      <c r="G37" s="131">
        <v>56260659</v>
      </c>
      <c r="H37" s="130">
        <f>_xlfn.COMPOUNDVALUE(492)</f>
        <v>724</v>
      </c>
      <c r="I37" s="132">
        <v>18359109</v>
      </c>
      <c r="J37" s="130">
        <v>919</v>
      </c>
      <c r="K37" s="132">
        <v>164984</v>
      </c>
      <c r="L37" s="130">
        <v>13698</v>
      </c>
      <c r="M37" s="132">
        <v>38066535</v>
      </c>
      <c r="N37" s="135">
        <v>13543</v>
      </c>
      <c r="O37" s="138">
        <v>442</v>
      </c>
      <c r="P37" s="138">
        <v>49</v>
      </c>
      <c r="Q37" s="139">
        <v>14034</v>
      </c>
      <c r="R37" s="91" t="s">
        <v>102</v>
      </c>
    </row>
    <row r="38" spans="1:18" ht="25.5" customHeight="1">
      <c r="A38" s="88" t="s">
        <v>103</v>
      </c>
      <c r="B38" s="130">
        <f>_xlfn.COMPOUNDVALUE(493)</f>
        <v>7467</v>
      </c>
      <c r="C38" s="131">
        <v>60017219</v>
      </c>
      <c r="D38" s="130">
        <f>_xlfn.COMPOUNDVALUE(494)</f>
        <v>4318</v>
      </c>
      <c r="E38" s="131">
        <v>2288035</v>
      </c>
      <c r="F38" s="130">
        <f>_xlfn.COMPOUNDVALUE(495)</f>
        <v>11785</v>
      </c>
      <c r="G38" s="131">
        <v>62305254</v>
      </c>
      <c r="H38" s="130">
        <f>_xlfn.COMPOUNDVALUE(496)</f>
        <v>434</v>
      </c>
      <c r="I38" s="132">
        <v>2876502</v>
      </c>
      <c r="J38" s="130">
        <v>904</v>
      </c>
      <c r="K38" s="132">
        <v>94482</v>
      </c>
      <c r="L38" s="130">
        <v>12404</v>
      </c>
      <c r="M38" s="132">
        <v>59523234</v>
      </c>
      <c r="N38" s="135">
        <v>12403</v>
      </c>
      <c r="O38" s="138">
        <v>232</v>
      </c>
      <c r="P38" s="138">
        <v>49</v>
      </c>
      <c r="Q38" s="139">
        <v>12684</v>
      </c>
      <c r="R38" s="91" t="s">
        <v>104</v>
      </c>
    </row>
    <row r="39" spans="1:18" ht="25.5" customHeight="1">
      <c r="A39" s="88" t="s">
        <v>105</v>
      </c>
      <c r="B39" s="130">
        <f>_xlfn.COMPOUNDVALUE(497)</f>
        <v>6225</v>
      </c>
      <c r="C39" s="131">
        <v>40802653</v>
      </c>
      <c r="D39" s="130">
        <f>_xlfn.COMPOUNDVALUE(498)</f>
        <v>3353</v>
      </c>
      <c r="E39" s="131">
        <v>1674729</v>
      </c>
      <c r="F39" s="130">
        <f>_xlfn.COMPOUNDVALUE(499)</f>
        <v>9578</v>
      </c>
      <c r="G39" s="131">
        <v>42477383</v>
      </c>
      <c r="H39" s="130">
        <f>_xlfn.COMPOUNDVALUE(500)</f>
        <v>844</v>
      </c>
      <c r="I39" s="132">
        <v>8601580</v>
      </c>
      <c r="J39" s="130">
        <v>897</v>
      </c>
      <c r="K39" s="132">
        <v>87242</v>
      </c>
      <c r="L39" s="130">
        <v>10632</v>
      </c>
      <c r="M39" s="132">
        <v>33963044</v>
      </c>
      <c r="N39" s="135">
        <v>10193</v>
      </c>
      <c r="O39" s="138">
        <v>349</v>
      </c>
      <c r="P39" s="138">
        <v>41</v>
      </c>
      <c r="Q39" s="139">
        <v>10583</v>
      </c>
      <c r="R39" s="91" t="s">
        <v>106</v>
      </c>
    </row>
    <row r="40" spans="1:18" ht="25.5" customHeight="1">
      <c r="A40" s="88" t="s">
        <v>107</v>
      </c>
      <c r="B40" s="130">
        <f>_xlfn.COMPOUNDVALUE(501)</f>
        <v>9859</v>
      </c>
      <c r="C40" s="131">
        <v>53630093</v>
      </c>
      <c r="D40" s="130">
        <f>_xlfn.COMPOUNDVALUE(502)</f>
        <v>9650</v>
      </c>
      <c r="E40" s="131">
        <v>4540291</v>
      </c>
      <c r="F40" s="130">
        <f>_xlfn.COMPOUNDVALUE(503)</f>
        <v>19509</v>
      </c>
      <c r="G40" s="131">
        <v>58170384</v>
      </c>
      <c r="H40" s="130">
        <f>_xlfn.COMPOUNDVALUE(504)</f>
        <v>711</v>
      </c>
      <c r="I40" s="132">
        <v>4824130</v>
      </c>
      <c r="J40" s="130">
        <v>1006</v>
      </c>
      <c r="K40" s="132">
        <v>168556</v>
      </c>
      <c r="L40" s="130">
        <v>20411</v>
      </c>
      <c r="M40" s="132">
        <v>53514810</v>
      </c>
      <c r="N40" s="135">
        <v>19839</v>
      </c>
      <c r="O40" s="138">
        <v>415</v>
      </c>
      <c r="P40" s="138">
        <v>38</v>
      </c>
      <c r="Q40" s="139">
        <v>20292</v>
      </c>
      <c r="R40" s="91" t="s">
        <v>108</v>
      </c>
    </row>
    <row r="41" spans="1:18" ht="25.5" customHeight="1">
      <c r="A41" s="88" t="s">
        <v>109</v>
      </c>
      <c r="B41" s="130">
        <f>_xlfn.COMPOUNDVALUE(505)</f>
        <v>5062</v>
      </c>
      <c r="C41" s="131">
        <v>27337852</v>
      </c>
      <c r="D41" s="130">
        <f>_xlfn.COMPOUNDVALUE(506)</f>
        <v>3590</v>
      </c>
      <c r="E41" s="131">
        <v>1834394</v>
      </c>
      <c r="F41" s="130">
        <f>_xlfn.COMPOUNDVALUE(507)</f>
        <v>8652</v>
      </c>
      <c r="G41" s="131">
        <v>29172245</v>
      </c>
      <c r="H41" s="130">
        <f>_xlfn.COMPOUNDVALUE(508)</f>
        <v>302</v>
      </c>
      <c r="I41" s="132">
        <v>679148</v>
      </c>
      <c r="J41" s="130">
        <v>505</v>
      </c>
      <c r="K41" s="132">
        <v>42960</v>
      </c>
      <c r="L41" s="130">
        <v>9050</v>
      </c>
      <c r="M41" s="132">
        <v>28536058</v>
      </c>
      <c r="N41" s="135">
        <v>8860</v>
      </c>
      <c r="O41" s="138">
        <v>181</v>
      </c>
      <c r="P41" s="138">
        <v>31</v>
      </c>
      <c r="Q41" s="139">
        <v>9072</v>
      </c>
      <c r="R41" s="91" t="s">
        <v>110</v>
      </c>
    </row>
    <row r="42" spans="1:18" ht="25.5" customHeight="1">
      <c r="A42" s="88" t="s">
        <v>111</v>
      </c>
      <c r="B42" s="130">
        <f>_xlfn.COMPOUNDVALUE(509)</f>
        <v>6150</v>
      </c>
      <c r="C42" s="131">
        <v>40800445</v>
      </c>
      <c r="D42" s="130">
        <f>_xlfn.COMPOUNDVALUE(510)</f>
        <v>4349</v>
      </c>
      <c r="E42" s="131">
        <v>2131847</v>
      </c>
      <c r="F42" s="130">
        <f>_xlfn.COMPOUNDVALUE(511)</f>
        <v>10499</v>
      </c>
      <c r="G42" s="131">
        <v>42932292</v>
      </c>
      <c r="H42" s="130">
        <f>_xlfn.COMPOUNDVALUE(512)</f>
        <v>475</v>
      </c>
      <c r="I42" s="132">
        <v>1683044</v>
      </c>
      <c r="J42" s="130">
        <v>737</v>
      </c>
      <c r="K42" s="132">
        <v>68762</v>
      </c>
      <c r="L42" s="130">
        <v>11120</v>
      </c>
      <c r="M42" s="132">
        <v>41318009</v>
      </c>
      <c r="N42" s="135">
        <v>10893</v>
      </c>
      <c r="O42" s="138">
        <v>266</v>
      </c>
      <c r="P42" s="138">
        <v>24</v>
      </c>
      <c r="Q42" s="139">
        <v>11183</v>
      </c>
      <c r="R42" s="91" t="s">
        <v>112</v>
      </c>
    </row>
    <row r="43" spans="1:18" ht="25.5" customHeight="1">
      <c r="A43" s="88" t="s">
        <v>113</v>
      </c>
      <c r="B43" s="130">
        <f>_xlfn.COMPOUNDVALUE(513)</f>
        <v>2659</v>
      </c>
      <c r="C43" s="131">
        <v>13036721</v>
      </c>
      <c r="D43" s="130">
        <f>_xlfn.COMPOUNDVALUE(514)</f>
        <v>1897</v>
      </c>
      <c r="E43" s="131">
        <v>880846</v>
      </c>
      <c r="F43" s="130">
        <f>_xlfn.COMPOUNDVALUE(515)</f>
        <v>4556</v>
      </c>
      <c r="G43" s="131">
        <v>13917567</v>
      </c>
      <c r="H43" s="130">
        <f>_xlfn.COMPOUNDVALUE(516)</f>
        <v>176</v>
      </c>
      <c r="I43" s="132">
        <v>1189657</v>
      </c>
      <c r="J43" s="130">
        <v>396</v>
      </c>
      <c r="K43" s="132">
        <v>60110</v>
      </c>
      <c r="L43" s="130">
        <v>4824</v>
      </c>
      <c r="M43" s="132">
        <v>12788020</v>
      </c>
      <c r="N43" s="135">
        <v>4653</v>
      </c>
      <c r="O43" s="138">
        <v>86</v>
      </c>
      <c r="P43" s="138">
        <v>15</v>
      </c>
      <c r="Q43" s="139">
        <v>4754</v>
      </c>
      <c r="R43" s="91" t="s">
        <v>114</v>
      </c>
    </row>
    <row r="44" spans="1:18" ht="24.75" customHeight="1">
      <c r="A44" s="90" t="s">
        <v>115</v>
      </c>
      <c r="B44" s="135">
        <f>_xlfn.COMPOUNDVALUE(517)</f>
        <v>7260</v>
      </c>
      <c r="C44" s="136">
        <v>46948249</v>
      </c>
      <c r="D44" s="135">
        <f>_xlfn.COMPOUNDVALUE(518)</f>
        <v>5234</v>
      </c>
      <c r="E44" s="136">
        <v>2539299</v>
      </c>
      <c r="F44" s="135">
        <f>_xlfn.COMPOUNDVALUE(519)</f>
        <v>12494</v>
      </c>
      <c r="G44" s="136">
        <v>49487548</v>
      </c>
      <c r="H44" s="135">
        <f>_xlfn.COMPOUNDVALUE(520)</f>
        <v>492</v>
      </c>
      <c r="I44" s="137">
        <v>4512191</v>
      </c>
      <c r="J44" s="135">
        <v>848</v>
      </c>
      <c r="K44" s="137">
        <v>82750</v>
      </c>
      <c r="L44" s="135">
        <v>13149</v>
      </c>
      <c r="M44" s="137">
        <v>45058107</v>
      </c>
      <c r="N44" s="135">
        <v>12700</v>
      </c>
      <c r="O44" s="138">
        <v>358</v>
      </c>
      <c r="P44" s="138">
        <v>37</v>
      </c>
      <c r="Q44" s="139">
        <v>13095</v>
      </c>
      <c r="R44" s="91" t="s">
        <v>116</v>
      </c>
    </row>
    <row r="45" spans="1:18" ht="25.5" customHeight="1">
      <c r="A45" s="90" t="s">
        <v>117</v>
      </c>
      <c r="B45" s="135">
        <f>_xlfn.COMPOUNDVALUE(521)</f>
        <v>4699</v>
      </c>
      <c r="C45" s="136">
        <v>24439446</v>
      </c>
      <c r="D45" s="135">
        <f>_xlfn.COMPOUNDVALUE(522)</f>
        <v>3195</v>
      </c>
      <c r="E45" s="136">
        <v>1514703</v>
      </c>
      <c r="F45" s="135">
        <f>_xlfn.COMPOUNDVALUE(523)</f>
        <v>7894</v>
      </c>
      <c r="G45" s="136">
        <v>25954149</v>
      </c>
      <c r="H45" s="135">
        <f>_xlfn.COMPOUNDVALUE(524)</f>
        <v>519</v>
      </c>
      <c r="I45" s="137">
        <v>4777825</v>
      </c>
      <c r="J45" s="135">
        <v>654</v>
      </c>
      <c r="K45" s="137">
        <v>91449</v>
      </c>
      <c r="L45" s="135">
        <v>8583</v>
      </c>
      <c r="M45" s="137">
        <v>21267773</v>
      </c>
      <c r="N45" s="135">
        <v>8236</v>
      </c>
      <c r="O45" s="138">
        <v>214</v>
      </c>
      <c r="P45" s="138">
        <v>19</v>
      </c>
      <c r="Q45" s="139">
        <v>8469</v>
      </c>
      <c r="R45" s="91" t="s">
        <v>118</v>
      </c>
    </row>
    <row r="46" spans="1:18" ht="25.5" customHeight="1">
      <c r="A46" s="90" t="s">
        <v>119</v>
      </c>
      <c r="B46" s="135">
        <f>_xlfn.COMPOUNDVALUE(525)</f>
        <v>6494</v>
      </c>
      <c r="C46" s="136">
        <v>70533652</v>
      </c>
      <c r="D46" s="135">
        <f>_xlfn.COMPOUNDVALUE(526)</f>
        <v>4222</v>
      </c>
      <c r="E46" s="136">
        <v>2113790</v>
      </c>
      <c r="F46" s="135">
        <f>_xlfn.COMPOUNDVALUE(527)</f>
        <v>10716</v>
      </c>
      <c r="G46" s="136">
        <v>72647442</v>
      </c>
      <c r="H46" s="135">
        <f>_xlfn.COMPOUNDVALUE(528)</f>
        <v>387</v>
      </c>
      <c r="I46" s="137">
        <v>61439899</v>
      </c>
      <c r="J46" s="135">
        <v>939</v>
      </c>
      <c r="K46" s="137">
        <v>-384979</v>
      </c>
      <c r="L46" s="135">
        <v>11299</v>
      </c>
      <c r="M46" s="137">
        <v>10822565</v>
      </c>
      <c r="N46" s="135">
        <v>10936</v>
      </c>
      <c r="O46" s="138">
        <v>277</v>
      </c>
      <c r="P46" s="138">
        <v>39</v>
      </c>
      <c r="Q46" s="139">
        <v>11252</v>
      </c>
      <c r="R46" s="91" t="s">
        <v>120</v>
      </c>
    </row>
    <row r="47" spans="1:18" ht="25.5" customHeight="1">
      <c r="A47" s="90" t="s">
        <v>121</v>
      </c>
      <c r="B47" s="135">
        <f>_xlfn.COMPOUNDVALUE(529)</f>
        <v>5083</v>
      </c>
      <c r="C47" s="136">
        <v>44781062</v>
      </c>
      <c r="D47" s="135">
        <f>_xlfn.COMPOUNDVALUE(530)</f>
        <v>3192</v>
      </c>
      <c r="E47" s="136">
        <v>1630503</v>
      </c>
      <c r="F47" s="135">
        <f>_xlfn.COMPOUNDVALUE(531)</f>
        <v>8275</v>
      </c>
      <c r="G47" s="136">
        <v>46411565</v>
      </c>
      <c r="H47" s="135">
        <f>_xlfn.COMPOUNDVALUE(532)</f>
        <v>319</v>
      </c>
      <c r="I47" s="137">
        <v>306571012</v>
      </c>
      <c r="J47" s="135">
        <v>517</v>
      </c>
      <c r="K47" s="137">
        <v>99994</v>
      </c>
      <c r="L47" s="135">
        <v>8717</v>
      </c>
      <c r="M47" s="137">
        <v>-260059453</v>
      </c>
      <c r="N47" s="135">
        <v>8461</v>
      </c>
      <c r="O47" s="138">
        <v>205</v>
      </c>
      <c r="P47" s="138">
        <v>28</v>
      </c>
      <c r="Q47" s="139">
        <v>8694</v>
      </c>
      <c r="R47" s="91" t="s">
        <v>122</v>
      </c>
    </row>
    <row r="48" spans="1:18" ht="25.5" customHeight="1">
      <c r="A48" s="90" t="s">
        <v>123</v>
      </c>
      <c r="B48" s="135">
        <f>_xlfn.COMPOUNDVALUE(533)</f>
        <v>2482</v>
      </c>
      <c r="C48" s="136">
        <v>13512730</v>
      </c>
      <c r="D48" s="135">
        <f>_xlfn.COMPOUNDVALUE(534)</f>
        <v>2051</v>
      </c>
      <c r="E48" s="136">
        <v>951885</v>
      </c>
      <c r="F48" s="135">
        <f>_xlfn.COMPOUNDVALUE(535)</f>
        <v>4533</v>
      </c>
      <c r="G48" s="136">
        <v>14464615</v>
      </c>
      <c r="H48" s="135">
        <f>_xlfn.COMPOUNDVALUE(536)</f>
        <v>141</v>
      </c>
      <c r="I48" s="137">
        <v>735246</v>
      </c>
      <c r="J48" s="135">
        <v>297</v>
      </c>
      <c r="K48" s="137">
        <v>45102</v>
      </c>
      <c r="L48" s="135">
        <v>4705</v>
      </c>
      <c r="M48" s="137">
        <v>13774471</v>
      </c>
      <c r="N48" s="135">
        <v>4470</v>
      </c>
      <c r="O48" s="138">
        <v>93</v>
      </c>
      <c r="P48" s="138">
        <v>13</v>
      </c>
      <c r="Q48" s="139">
        <v>4576</v>
      </c>
      <c r="R48" s="91" t="s">
        <v>124</v>
      </c>
    </row>
    <row r="49" spans="1:18" ht="25.5" customHeight="1">
      <c r="A49" s="90" t="s">
        <v>125</v>
      </c>
      <c r="B49" s="135">
        <f>_xlfn.COMPOUNDVALUE(537)</f>
        <v>8794</v>
      </c>
      <c r="C49" s="136">
        <v>54552743</v>
      </c>
      <c r="D49" s="135">
        <f>_xlfn.COMPOUNDVALUE(538)</f>
        <v>5575</v>
      </c>
      <c r="E49" s="136">
        <v>2913099</v>
      </c>
      <c r="F49" s="135">
        <f>_xlfn.COMPOUNDVALUE(539)</f>
        <v>14369</v>
      </c>
      <c r="G49" s="136">
        <v>57465842</v>
      </c>
      <c r="H49" s="135">
        <f>_xlfn.COMPOUNDVALUE(540)</f>
        <v>594</v>
      </c>
      <c r="I49" s="137">
        <v>15189414</v>
      </c>
      <c r="J49" s="135">
        <v>1090</v>
      </c>
      <c r="K49" s="137">
        <v>238588</v>
      </c>
      <c r="L49" s="135">
        <v>15185</v>
      </c>
      <c r="M49" s="137">
        <v>42515016</v>
      </c>
      <c r="N49" s="135">
        <v>14993</v>
      </c>
      <c r="O49" s="138">
        <v>357</v>
      </c>
      <c r="P49" s="138">
        <v>58</v>
      </c>
      <c r="Q49" s="139">
        <v>15408</v>
      </c>
      <c r="R49" s="91" t="s">
        <v>126</v>
      </c>
    </row>
    <row r="50" spans="1:18" ht="25.5" customHeight="1">
      <c r="A50" s="195" t="s">
        <v>127</v>
      </c>
      <c r="B50" s="196">
        <f>_xlfn.COMPOUNDVALUE(541)</f>
        <v>722</v>
      </c>
      <c r="C50" s="197">
        <v>2526743</v>
      </c>
      <c r="D50" s="196">
        <f>_xlfn.COMPOUNDVALUE(542)</f>
        <v>569</v>
      </c>
      <c r="E50" s="197">
        <v>249642</v>
      </c>
      <c r="F50" s="196">
        <f>_xlfn.COMPOUNDVALUE(543)</f>
        <v>1291</v>
      </c>
      <c r="G50" s="197">
        <v>2776386</v>
      </c>
      <c r="H50" s="196">
        <f>_xlfn.COMPOUNDVALUE(544)</f>
        <v>42</v>
      </c>
      <c r="I50" s="198">
        <v>29329</v>
      </c>
      <c r="J50" s="196">
        <v>106</v>
      </c>
      <c r="K50" s="198">
        <v>9337</v>
      </c>
      <c r="L50" s="196">
        <v>1350</v>
      </c>
      <c r="M50" s="198">
        <v>2756393</v>
      </c>
      <c r="N50" s="196">
        <v>1287</v>
      </c>
      <c r="O50" s="218">
        <v>30</v>
      </c>
      <c r="P50" s="218">
        <v>3</v>
      </c>
      <c r="Q50" s="219">
        <v>1320</v>
      </c>
      <c r="R50" s="202" t="s">
        <v>128</v>
      </c>
    </row>
    <row r="51" spans="1:18" ht="25.5" customHeight="1">
      <c r="A51" s="203" t="s">
        <v>129</v>
      </c>
      <c r="B51" s="204">
        <v>109833</v>
      </c>
      <c r="C51" s="205">
        <v>973358211</v>
      </c>
      <c r="D51" s="204">
        <v>71064</v>
      </c>
      <c r="E51" s="205">
        <v>36646161</v>
      </c>
      <c r="F51" s="204">
        <v>180897</v>
      </c>
      <c r="G51" s="205">
        <v>1010004372</v>
      </c>
      <c r="H51" s="204">
        <v>8971</v>
      </c>
      <c r="I51" s="206">
        <v>540045599</v>
      </c>
      <c r="J51" s="204">
        <v>13500</v>
      </c>
      <c r="K51" s="206">
        <v>2029319</v>
      </c>
      <c r="L51" s="204">
        <v>192632</v>
      </c>
      <c r="M51" s="206">
        <v>471988092</v>
      </c>
      <c r="N51" s="204">
        <v>188816</v>
      </c>
      <c r="O51" s="207">
        <v>5022</v>
      </c>
      <c r="P51" s="207">
        <v>761</v>
      </c>
      <c r="Q51" s="208">
        <v>194599</v>
      </c>
      <c r="R51" s="209" t="s">
        <v>130</v>
      </c>
    </row>
    <row r="52" spans="1:18" ht="25.5" customHeight="1">
      <c r="A52" s="210"/>
      <c r="B52" s="211"/>
      <c r="C52" s="212"/>
      <c r="D52" s="211"/>
      <c r="E52" s="212"/>
      <c r="F52" s="213"/>
      <c r="G52" s="212"/>
      <c r="H52" s="213"/>
      <c r="I52" s="212"/>
      <c r="J52" s="213"/>
      <c r="K52" s="212"/>
      <c r="L52" s="213"/>
      <c r="M52" s="212"/>
      <c r="N52" s="214"/>
      <c r="O52" s="215"/>
      <c r="P52" s="215"/>
      <c r="Q52" s="216"/>
      <c r="R52" s="217" t="s">
        <v>44</v>
      </c>
    </row>
    <row r="53" spans="1:18" ht="25.5" customHeight="1">
      <c r="A53" s="88" t="s">
        <v>131</v>
      </c>
      <c r="B53" s="130">
        <f>_xlfn.COMPOUNDVALUE(545)</f>
        <v>3287</v>
      </c>
      <c r="C53" s="131">
        <v>19251345</v>
      </c>
      <c r="D53" s="130">
        <f>_xlfn.COMPOUNDVALUE(546)</f>
        <v>2237</v>
      </c>
      <c r="E53" s="131">
        <v>1137464</v>
      </c>
      <c r="F53" s="130">
        <f>_xlfn.COMPOUNDVALUE(547)</f>
        <v>5524</v>
      </c>
      <c r="G53" s="131">
        <v>20388810</v>
      </c>
      <c r="H53" s="130">
        <f>_xlfn.COMPOUNDVALUE(548)</f>
        <v>234</v>
      </c>
      <c r="I53" s="132">
        <v>1189187</v>
      </c>
      <c r="J53" s="130">
        <v>578</v>
      </c>
      <c r="K53" s="132">
        <v>99014</v>
      </c>
      <c r="L53" s="130">
        <v>5888</v>
      </c>
      <c r="M53" s="132">
        <v>19298636</v>
      </c>
      <c r="N53" s="130">
        <v>6007</v>
      </c>
      <c r="O53" s="133">
        <v>150</v>
      </c>
      <c r="P53" s="133">
        <v>19</v>
      </c>
      <c r="Q53" s="134">
        <v>6176</v>
      </c>
      <c r="R53" s="89" t="s">
        <v>132</v>
      </c>
    </row>
    <row r="54" spans="1:18" ht="25.5" customHeight="1">
      <c r="A54" s="90" t="s">
        <v>133</v>
      </c>
      <c r="B54" s="135">
        <f>_xlfn.COMPOUNDVALUE(549)</f>
        <v>5467</v>
      </c>
      <c r="C54" s="136">
        <v>37657681</v>
      </c>
      <c r="D54" s="135">
        <f>_xlfn.COMPOUNDVALUE(550)</f>
        <v>3401</v>
      </c>
      <c r="E54" s="136">
        <v>1806259</v>
      </c>
      <c r="F54" s="135">
        <f>_xlfn.COMPOUNDVALUE(551)</f>
        <v>8868</v>
      </c>
      <c r="G54" s="136">
        <v>39463940</v>
      </c>
      <c r="H54" s="135">
        <f>_xlfn.COMPOUNDVALUE(552)</f>
        <v>379</v>
      </c>
      <c r="I54" s="137">
        <v>23969991</v>
      </c>
      <c r="J54" s="135">
        <v>692</v>
      </c>
      <c r="K54" s="137">
        <v>121668</v>
      </c>
      <c r="L54" s="135">
        <v>9392</v>
      </c>
      <c r="M54" s="137">
        <v>15615617</v>
      </c>
      <c r="N54" s="135">
        <v>9150</v>
      </c>
      <c r="O54" s="138">
        <v>243</v>
      </c>
      <c r="P54" s="138">
        <v>25</v>
      </c>
      <c r="Q54" s="139">
        <v>9418</v>
      </c>
      <c r="R54" s="91" t="s">
        <v>134</v>
      </c>
    </row>
    <row r="55" spans="1:18" ht="25.5" customHeight="1">
      <c r="A55" s="90" t="s">
        <v>135</v>
      </c>
      <c r="B55" s="135">
        <f>_xlfn.COMPOUNDVALUE(553)</f>
        <v>3574</v>
      </c>
      <c r="C55" s="136">
        <v>13236882</v>
      </c>
      <c r="D55" s="135">
        <f>_xlfn.COMPOUNDVALUE(554)</f>
        <v>2485</v>
      </c>
      <c r="E55" s="136">
        <v>1124562</v>
      </c>
      <c r="F55" s="135">
        <f>_xlfn.COMPOUNDVALUE(555)</f>
        <v>6059</v>
      </c>
      <c r="G55" s="136">
        <v>14361444</v>
      </c>
      <c r="H55" s="135">
        <f>_xlfn.COMPOUNDVALUE(556)</f>
        <v>269</v>
      </c>
      <c r="I55" s="137">
        <v>1759611</v>
      </c>
      <c r="J55" s="135">
        <v>378</v>
      </c>
      <c r="K55" s="137">
        <v>94556</v>
      </c>
      <c r="L55" s="135">
        <v>6390</v>
      </c>
      <c r="M55" s="137">
        <v>12696389</v>
      </c>
      <c r="N55" s="135">
        <v>6216</v>
      </c>
      <c r="O55" s="138">
        <v>165</v>
      </c>
      <c r="P55" s="138">
        <v>19</v>
      </c>
      <c r="Q55" s="139">
        <v>6400</v>
      </c>
      <c r="R55" s="91" t="s">
        <v>136</v>
      </c>
    </row>
    <row r="56" spans="1:18" ht="25.5" customHeight="1">
      <c r="A56" s="90" t="s">
        <v>137</v>
      </c>
      <c r="B56" s="135">
        <f>_xlfn.COMPOUNDVALUE(557)</f>
        <v>2811</v>
      </c>
      <c r="C56" s="136">
        <v>13778118</v>
      </c>
      <c r="D56" s="135">
        <f>_xlfn.COMPOUNDVALUE(558)</f>
        <v>1782</v>
      </c>
      <c r="E56" s="136">
        <v>880870</v>
      </c>
      <c r="F56" s="135">
        <f>_xlfn.COMPOUNDVALUE(559)</f>
        <v>4593</v>
      </c>
      <c r="G56" s="136">
        <v>14658987</v>
      </c>
      <c r="H56" s="135">
        <f>_xlfn.COMPOUNDVALUE(560)</f>
        <v>204</v>
      </c>
      <c r="I56" s="137">
        <v>4449217</v>
      </c>
      <c r="J56" s="135">
        <v>314</v>
      </c>
      <c r="K56" s="137">
        <v>-45113</v>
      </c>
      <c r="L56" s="135">
        <v>4873</v>
      </c>
      <c r="M56" s="137">
        <v>10164658</v>
      </c>
      <c r="N56" s="135">
        <v>4658</v>
      </c>
      <c r="O56" s="138">
        <v>131</v>
      </c>
      <c r="P56" s="138">
        <v>11</v>
      </c>
      <c r="Q56" s="139">
        <v>4800</v>
      </c>
      <c r="R56" s="91" t="s">
        <v>138</v>
      </c>
    </row>
    <row r="57" spans="1:18" ht="25.5" customHeight="1">
      <c r="A57" s="90" t="s">
        <v>139</v>
      </c>
      <c r="B57" s="135">
        <f>_xlfn.COMPOUNDVALUE(561)</f>
        <v>2728</v>
      </c>
      <c r="C57" s="136">
        <v>16668887</v>
      </c>
      <c r="D57" s="135">
        <f>_xlfn.COMPOUNDVALUE(562)</f>
        <v>1844</v>
      </c>
      <c r="E57" s="136">
        <v>912740</v>
      </c>
      <c r="F57" s="135">
        <f>_xlfn.COMPOUNDVALUE(563)</f>
        <v>4572</v>
      </c>
      <c r="G57" s="136">
        <v>17581627</v>
      </c>
      <c r="H57" s="135">
        <f>_xlfn.COMPOUNDVALUE(564)</f>
        <v>212</v>
      </c>
      <c r="I57" s="137">
        <v>613839</v>
      </c>
      <c r="J57" s="135">
        <v>328</v>
      </c>
      <c r="K57" s="137">
        <v>38606</v>
      </c>
      <c r="L57" s="135">
        <v>4829</v>
      </c>
      <c r="M57" s="137">
        <v>17006395</v>
      </c>
      <c r="N57" s="135">
        <v>4646</v>
      </c>
      <c r="O57" s="138">
        <v>123</v>
      </c>
      <c r="P57" s="138">
        <v>7</v>
      </c>
      <c r="Q57" s="139">
        <v>4776</v>
      </c>
      <c r="R57" s="91" t="s">
        <v>140</v>
      </c>
    </row>
    <row r="58" spans="1:18" ht="25.5" customHeight="1">
      <c r="A58" s="90" t="s">
        <v>141</v>
      </c>
      <c r="B58" s="135">
        <f>_xlfn.COMPOUNDVALUE(565)</f>
        <v>1867</v>
      </c>
      <c r="C58" s="136">
        <v>8380747</v>
      </c>
      <c r="D58" s="135">
        <f>_xlfn.COMPOUNDVALUE(566)</f>
        <v>1096</v>
      </c>
      <c r="E58" s="136">
        <v>497832</v>
      </c>
      <c r="F58" s="135">
        <f>_xlfn.COMPOUNDVALUE(567)</f>
        <v>2963</v>
      </c>
      <c r="G58" s="136">
        <v>8878579</v>
      </c>
      <c r="H58" s="135">
        <f>_xlfn.COMPOUNDVALUE(568)</f>
        <v>139</v>
      </c>
      <c r="I58" s="137">
        <v>400413</v>
      </c>
      <c r="J58" s="135">
        <v>258</v>
      </c>
      <c r="K58" s="137">
        <v>59395</v>
      </c>
      <c r="L58" s="135">
        <v>3138</v>
      </c>
      <c r="M58" s="137">
        <v>8537561</v>
      </c>
      <c r="N58" s="135">
        <v>3121</v>
      </c>
      <c r="O58" s="138">
        <v>112</v>
      </c>
      <c r="P58" s="138">
        <v>11</v>
      </c>
      <c r="Q58" s="139">
        <v>3244</v>
      </c>
      <c r="R58" s="91" t="s">
        <v>142</v>
      </c>
    </row>
    <row r="59" spans="1:18" ht="25.5" customHeight="1">
      <c r="A59" s="90" t="s">
        <v>143</v>
      </c>
      <c r="B59" s="135">
        <f>_xlfn.COMPOUNDVALUE(569)</f>
        <v>2930</v>
      </c>
      <c r="C59" s="136">
        <v>13491342</v>
      </c>
      <c r="D59" s="135">
        <f>_xlfn.COMPOUNDVALUE(570)</f>
        <v>2004</v>
      </c>
      <c r="E59" s="136">
        <v>1055729</v>
      </c>
      <c r="F59" s="135">
        <f>_xlfn.COMPOUNDVALUE(571)</f>
        <v>4934</v>
      </c>
      <c r="G59" s="136">
        <v>14547071</v>
      </c>
      <c r="H59" s="135">
        <f>_xlfn.COMPOUNDVALUE(572)</f>
        <v>193</v>
      </c>
      <c r="I59" s="137">
        <v>556807</v>
      </c>
      <c r="J59" s="135">
        <v>272</v>
      </c>
      <c r="K59" s="137">
        <v>60195</v>
      </c>
      <c r="L59" s="135">
        <v>5184</v>
      </c>
      <c r="M59" s="137">
        <v>14050458</v>
      </c>
      <c r="N59" s="135">
        <v>5117</v>
      </c>
      <c r="O59" s="138">
        <v>147</v>
      </c>
      <c r="P59" s="138">
        <v>14</v>
      </c>
      <c r="Q59" s="139">
        <v>5278</v>
      </c>
      <c r="R59" s="91" t="s">
        <v>144</v>
      </c>
    </row>
    <row r="60" spans="1:18" ht="25.5" customHeight="1">
      <c r="A60" s="195" t="s">
        <v>145</v>
      </c>
      <c r="B60" s="196">
        <f>_xlfn.COMPOUNDVALUE(573)</f>
        <v>1064</v>
      </c>
      <c r="C60" s="197">
        <v>3342612</v>
      </c>
      <c r="D60" s="196">
        <f>_xlfn.COMPOUNDVALUE(574)</f>
        <v>800</v>
      </c>
      <c r="E60" s="197">
        <v>351854</v>
      </c>
      <c r="F60" s="196">
        <f>_xlfn.COMPOUNDVALUE(575)</f>
        <v>1864</v>
      </c>
      <c r="G60" s="197">
        <v>3694465</v>
      </c>
      <c r="H60" s="196">
        <f>_xlfn.COMPOUNDVALUE(576)</f>
        <v>41</v>
      </c>
      <c r="I60" s="198">
        <v>61270</v>
      </c>
      <c r="J60" s="196">
        <v>180</v>
      </c>
      <c r="K60" s="198">
        <v>36380</v>
      </c>
      <c r="L60" s="196">
        <v>1932</v>
      </c>
      <c r="M60" s="198">
        <v>3669576</v>
      </c>
      <c r="N60" s="196">
        <v>1846</v>
      </c>
      <c r="O60" s="218">
        <v>30</v>
      </c>
      <c r="P60" s="218">
        <v>2</v>
      </c>
      <c r="Q60" s="219">
        <v>1878</v>
      </c>
      <c r="R60" s="202" t="s">
        <v>146</v>
      </c>
    </row>
    <row r="61" spans="1:18" ht="25.5" customHeight="1">
      <c r="A61" s="203" t="s">
        <v>147</v>
      </c>
      <c r="B61" s="204">
        <v>23728</v>
      </c>
      <c r="C61" s="205">
        <v>125807613</v>
      </c>
      <c r="D61" s="204">
        <v>15649</v>
      </c>
      <c r="E61" s="205">
        <v>7767310</v>
      </c>
      <c r="F61" s="204">
        <v>39377</v>
      </c>
      <c r="G61" s="205">
        <v>133574923</v>
      </c>
      <c r="H61" s="204">
        <v>1671</v>
      </c>
      <c r="I61" s="206">
        <v>33000335</v>
      </c>
      <c r="J61" s="204">
        <v>3000</v>
      </c>
      <c r="K61" s="206">
        <v>464701</v>
      </c>
      <c r="L61" s="204">
        <v>41626</v>
      </c>
      <c r="M61" s="206">
        <v>101039290</v>
      </c>
      <c r="N61" s="204">
        <v>40761</v>
      </c>
      <c r="O61" s="207">
        <v>1101</v>
      </c>
      <c r="P61" s="207">
        <v>108</v>
      </c>
      <c r="Q61" s="208">
        <v>41970</v>
      </c>
      <c r="R61" s="209" t="s">
        <v>148</v>
      </c>
    </row>
    <row r="62" spans="1:18" ht="25.5" customHeight="1" thickBot="1">
      <c r="A62" s="94"/>
      <c r="B62" s="220"/>
      <c r="C62" s="221"/>
      <c r="D62" s="220"/>
      <c r="E62" s="221"/>
      <c r="F62" s="222"/>
      <c r="G62" s="221"/>
      <c r="H62" s="222"/>
      <c r="I62" s="221"/>
      <c r="J62" s="222"/>
      <c r="K62" s="221"/>
      <c r="L62" s="222"/>
      <c r="M62" s="221"/>
      <c r="N62" s="223"/>
      <c r="O62" s="224"/>
      <c r="P62" s="224"/>
      <c r="Q62" s="225"/>
      <c r="R62" s="226" t="s">
        <v>44</v>
      </c>
    </row>
    <row r="63" spans="1:18" ht="25.5" customHeight="1" thickBot="1" thickTop="1">
      <c r="A63" s="95" t="s">
        <v>43</v>
      </c>
      <c r="B63" s="140">
        <v>213855</v>
      </c>
      <c r="C63" s="141">
        <v>1556283193</v>
      </c>
      <c r="D63" s="140">
        <v>148659</v>
      </c>
      <c r="E63" s="141">
        <v>74024554</v>
      </c>
      <c r="F63" s="140">
        <v>362514</v>
      </c>
      <c r="G63" s="141">
        <v>1630307747</v>
      </c>
      <c r="H63" s="140">
        <v>16099</v>
      </c>
      <c r="I63" s="142">
        <v>643994091</v>
      </c>
      <c r="J63" s="140">
        <v>26821</v>
      </c>
      <c r="K63" s="142">
        <v>4328097</v>
      </c>
      <c r="L63" s="140">
        <v>383774</v>
      </c>
      <c r="M63" s="142">
        <v>990641753</v>
      </c>
      <c r="N63" s="143">
        <v>376996</v>
      </c>
      <c r="O63" s="144">
        <v>9815</v>
      </c>
      <c r="P63" s="144">
        <v>1250</v>
      </c>
      <c r="Q63" s="145">
        <v>388061</v>
      </c>
      <c r="R63" s="96" t="s">
        <v>43</v>
      </c>
    </row>
    <row r="64" spans="1:9" ht="25.5" customHeight="1">
      <c r="A64" s="97" t="s">
        <v>226</v>
      </c>
      <c r="B64" s="97"/>
      <c r="C64" s="97"/>
      <c r="D64" s="97"/>
      <c r="E64" s="97"/>
      <c r="F64" s="97"/>
      <c r="G64" s="97"/>
      <c r="H64" s="97"/>
      <c r="I64" s="97"/>
    </row>
  </sheetData>
  <sheetProtection/>
  <mergeCells count="15">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&amp;R名古屋国税局 消費税（H29）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2018-07-11T04:25:48Z</cp:lastPrinted>
  <dcterms:created xsi:type="dcterms:W3CDTF">2003-07-09T01:05:10Z</dcterms:created>
  <dcterms:modified xsi:type="dcterms:W3CDTF">2019-06-20T07:02:41Z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