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767"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<sst xmlns="http://schemas.openxmlformats.org/spreadsheetml/2006/main" count="520" uniqueCount="237">
  <si>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</si>
  <si>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</si>
  <si>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</si>
  <si>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</si>
  <si>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</si>
  <si>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</si>
  <si>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</si>
  <si>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</si>
  <si>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</si>
  <si>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</si>
  <si>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</si>
  <si>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</si>
  <si>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</si>
  <si>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</si>
  <si>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</si>
  <si>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</si>
  <si>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</si>
  <si>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</si>
  <si>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</si>
  <si>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</si>
  <si>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</si>
  <si>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</si>
  <si>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</si>
  <si>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</si>
  <si>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</si>
  <si>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</si>
  <si>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</si>
  <si>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</si>
  <si>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</si>
  <si>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</si>
  <si>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</si>
  <si>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</si>
  <si>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</si>
  <si>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</si>
  <si>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</si>
  <si>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合計</t>
  </si>
  <si>
    <t>　イ　個人事業者</t>
  </si>
  <si>
    <t>既往年分の
申告及び処理</t>
  </si>
  <si>
    <t>合　　　　　　計</t>
  </si>
  <si>
    <t>税務署名</t>
  </si>
  <si>
    <t>簡易申告及び処理</t>
  </si>
  <si>
    <t>小　　　　　　計</t>
  </si>
  <si>
    <t>総　計</t>
  </si>
  <si>
    <t>総　計</t>
  </si>
  <si>
    <t/>
  </si>
  <si>
    <t>岐阜北</t>
  </si>
  <si>
    <t>岐阜北</t>
  </si>
  <si>
    <t>岐阜南</t>
  </si>
  <si>
    <t>岐阜南</t>
  </si>
  <si>
    <t>大垣</t>
  </si>
  <si>
    <t>大垣</t>
  </si>
  <si>
    <t>高山</t>
  </si>
  <si>
    <t>高山</t>
  </si>
  <si>
    <t>多治見</t>
  </si>
  <si>
    <t>多治見</t>
  </si>
  <si>
    <t>関</t>
  </si>
  <si>
    <t>関</t>
  </si>
  <si>
    <t>中津川</t>
  </si>
  <si>
    <t>中津川</t>
  </si>
  <si>
    <t>岐阜県計</t>
  </si>
  <si>
    <t>岐阜県計</t>
  </si>
  <si>
    <t>静岡</t>
  </si>
  <si>
    <t>静岡</t>
  </si>
  <si>
    <t>清水</t>
  </si>
  <si>
    <t>清水</t>
  </si>
  <si>
    <t>浜松西</t>
  </si>
  <si>
    <t>浜松西</t>
  </si>
  <si>
    <t>浜松東</t>
  </si>
  <si>
    <t>浜松東</t>
  </si>
  <si>
    <t>沼津</t>
  </si>
  <si>
    <t>沼津</t>
  </si>
  <si>
    <t>熱海</t>
  </si>
  <si>
    <t>熱海</t>
  </si>
  <si>
    <t>三島</t>
  </si>
  <si>
    <t>三島</t>
  </si>
  <si>
    <t>島田</t>
  </si>
  <si>
    <t>島田</t>
  </si>
  <si>
    <t>富士</t>
  </si>
  <si>
    <t>富士</t>
  </si>
  <si>
    <t>磐田</t>
  </si>
  <si>
    <t>磐田</t>
  </si>
  <si>
    <t>掛川</t>
  </si>
  <si>
    <t>掛川</t>
  </si>
  <si>
    <t>藤枝</t>
  </si>
  <si>
    <t>藤枝</t>
  </si>
  <si>
    <t>下田</t>
  </si>
  <si>
    <t>下田</t>
  </si>
  <si>
    <t>静岡県計</t>
  </si>
  <si>
    <t>静岡県計</t>
  </si>
  <si>
    <t>千種</t>
  </si>
  <si>
    <t>千種</t>
  </si>
  <si>
    <t>名古屋東</t>
  </si>
  <si>
    <t>名古屋東</t>
  </si>
  <si>
    <t>名古屋北</t>
  </si>
  <si>
    <t>名古屋北</t>
  </si>
  <si>
    <t>名古屋西</t>
  </si>
  <si>
    <t>名古屋西</t>
  </si>
  <si>
    <t>名古屋中村</t>
  </si>
  <si>
    <t>名古屋中村</t>
  </si>
  <si>
    <t>名古屋中</t>
  </si>
  <si>
    <t>名古屋中</t>
  </si>
  <si>
    <t>昭和</t>
  </si>
  <si>
    <t>昭和</t>
  </si>
  <si>
    <t>熱田</t>
  </si>
  <si>
    <t>熱田</t>
  </si>
  <si>
    <t>中川</t>
  </si>
  <si>
    <t>中川</t>
  </si>
  <si>
    <t>豊橋</t>
  </si>
  <si>
    <t>豊橋</t>
  </si>
  <si>
    <t>岡崎</t>
  </si>
  <si>
    <t>岡崎</t>
  </si>
  <si>
    <t>一宮</t>
  </si>
  <si>
    <t>一宮</t>
  </si>
  <si>
    <t>尾張瀬戸</t>
  </si>
  <si>
    <t>尾張瀬戸</t>
  </si>
  <si>
    <t>半田</t>
  </si>
  <si>
    <t>半田</t>
  </si>
  <si>
    <t>津島</t>
  </si>
  <si>
    <t>津島</t>
  </si>
  <si>
    <t>刈谷</t>
  </si>
  <si>
    <t>刈谷</t>
  </si>
  <si>
    <t>豊田</t>
  </si>
  <si>
    <t>豊田</t>
  </si>
  <si>
    <t>西尾</t>
  </si>
  <si>
    <t>西尾</t>
  </si>
  <si>
    <t>小牧</t>
  </si>
  <si>
    <t>小牧</t>
  </si>
  <si>
    <t>新城</t>
  </si>
  <si>
    <t>新城</t>
  </si>
  <si>
    <t>愛知県計</t>
  </si>
  <si>
    <t>愛知県計</t>
  </si>
  <si>
    <t>津</t>
  </si>
  <si>
    <t>津</t>
  </si>
  <si>
    <t>四日市</t>
  </si>
  <si>
    <t>四日市</t>
  </si>
  <si>
    <t>伊勢</t>
  </si>
  <si>
    <t>伊勢</t>
  </si>
  <si>
    <t>松阪</t>
  </si>
  <si>
    <t>松阪</t>
  </si>
  <si>
    <t>桑名</t>
  </si>
  <si>
    <t>桑名</t>
  </si>
  <si>
    <t>上野</t>
  </si>
  <si>
    <t>上野</t>
  </si>
  <si>
    <t>鈴鹿</t>
  </si>
  <si>
    <t>鈴鹿</t>
  </si>
  <si>
    <t>尾鷲</t>
  </si>
  <si>
    <t>尾鷲</t>
  </si>
  <si>
    <t>三重県計</t>
  </si>
  <si>
    <t>三重県計</t>
  </si>
  <si>
    <t>　ロ　法　　　人</t>
  </si>
  <si>
    <t>税務署名</t>
  </si>
  <si>
    <t>　ハ　個人事業者と法人の合計</t>
  </si>
  <si>
    <t>課税事業者
届出</t>
  </si>
  <si>
    <t>合　　　計</t>
  </si>
  <si>
    <t>税務署名</t>
  </si>
  <si>
    <t>納　　　税　　　申　　　告　　　及　　　び　　　処　　　理</t>
  </si>
  <si>
    <t>税額</t>
  </si>
  <si>
    <t>税　　　額
(①－②＋③)</t>
  </si>
  <si>
    <t>岐阜北</t>
  </si>
  <si>
    <t>課　税　事　業　者　等　届　出　件　数</t>
  </si>
  <si>
    <t>課税事業者
選択届出</t>
  </si>
  <si>
    <t>新設法人に
該当する旨
の届出</t>
  </si>
  <si>
    <t>税　　額
(①－②＋③)</t>
  </si>
  <si>
    <t>平成24年度</t>
  </si>
  <si>
    <t>平成25年度</t>
  </si>
  <si>
    <t>調査対象等：</t>
  </si>
  <si>
    <t>　（注）１</t>
  </si>
  <si>
    <t>税関分は含まない。</t>
  </si>
  <si>
    <t>　　　　２</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</si>
  <si>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</si>
  <si>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</si>
  <si>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</si>
  <si>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</si>
  <si>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</si>
  <si>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</si>
  <si>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</si>
  <si>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</si>
  <si>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</si>
  <si>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</si>
  <si>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</si>
  <si>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</si>
  <si>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</si>
  <si>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</si>
  <si>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</si>
  <si>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</si>
  <si>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</si>
  <si>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</si>
  <si>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</si>
  <si>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</si>
  <si>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</si>
  <si>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</si>
  <si>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</si>
  <si>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</si>
  <si>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</si>
  <si>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</si>
  <si>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</si>
  <si>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</si>
  <si>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</si>
  <si>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</si>
  <si>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</si>
  <si>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</si>
  <si>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</si>
  <si>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</si>
  <si>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</si>
  <si>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</si>
  <si>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</si>
  <si>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</si>
  <si>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</si>
  <si>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</si>
  <si>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</si>
  <si>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</si>
  <si>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</si>
  <si>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</si>
  <si>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</si>
  <si>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</si>
  <si>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</si>
  <si>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</si>
  <si>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</si>
  <si>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</si>
  <si>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</si>
  <si>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総　計</t>
  </si>
  <si>
    <t>税　額
①</t>
  </si>
  <si>
    <t>税　額
②</t>
  </si>
  <si>
    <t>税　額
③</t>
  </si>
  <si>
    <t>件　数</t>
  </si>
  <si>
    <t>平成26年度</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</si>
  <si>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</si>
  <si>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</si>
  <si>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　「既往年分」は、平成28年３月31日以前に終了した課税期間について、平成28年７月１日から平成29年６月30日までの間の申告（平成28年７月１日から同年９月30日までの間の国・地方公共団体等に係る申告を除く。）及び処理（更正、決定等）による課税事績を「申告書及び決議書」に基づいて作成した。</t>
  </si>
  <si>
    <t>平成27年度</t>
  </si>
  <si>
    <t>平成28年度</t>
  </si>
  <si>
    <t>調査対象等：　平成28年度末（平成29年３月31日現在）の届出件数を示している。</t>
  </si>
  <si>
    <t>実件</t>
  </si>
  <si>
    <t>(4)　税務署別課税状況等</t>
  </si>
  <si>
    <t>(4)　税務署別課税状況等（続）</t>
  </si>
  <si>
    <t>「件数」欄の「実」は、実件数を示す。</t>
  </si>
  <si>
    <t>　「現年分」は、平成28年４月１日から平成29年３月31日までに終了した課税期間について、平成29年６月30日現在の申告（国・地方公共団体等については平成29年９月30日までの申告を含む。）及び処理（更正、決定等）による課税事績を「申告書及び決議書」に基づいて作成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</si>
</sst>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sz val="10"/>
      <name val="ＭＳ 明朝"/>
      <family val="1"/>
    </font>
    <font>
      <sz val="10"/>
      <name val="ＭＳ ゴシック"/>
      <family val="3"/>
    </font>
    <font>
      <b/>
      <sz val="10"/>
      <name val="ＭＳ 明朝"/>
      <family val="1"/>
    </font>
    <font>
      <sz val="10"/>
      <name val="ＭＳ Ｐゴシック"/>
      <family val="3"/>
    </font>
    <font>
      <sz val="11"/>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CCFFFF"/>
        <bgColor indexed="64"/>
      </patternFill>
    </fill>
    <fill>
      <patternFill patternType="solid">
        <fgColor rgb="FFFFFFCC"/>
        <bgColor indexed="64"/>
      </patternFill>
    </fill>
    <fill>
      <patternFill patternType="solid">
        <fgColor rgb="FFFFFF99"/>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hair"/>
      <right style="thin"/>
      <top style="hair"/>
      <bottom style="thin"/>
    </border>
    <border>
      <left style="hair"/>
      <right/>
      <top style="hair"/>
      <bottom style="thin"/>
    </border>
    <border>
      <left style="hair"/>
      <right/>
      <top style="thin"/>
      <bottom/>
    </border>
    <border>
      <left style="medium"/>
      <right/>
      <top/>
      <bottom style="hair">
        <color rgb="FF969696"/>
      </bottom>
    </border>
    <border>
      <left style="thin"/>
      <right style="medium"/>
      <top/>
      <bottom style="hair">
        <color rgb="FF969696"/>
      </bottom>
    </border>
    <border>
      <left style="medium"/>
      <right/>
      <top style="hair">
        <color rgb="FF969696"/>
      </top>
      <bottom style="hair">
        <color rgb="FF969696"/>
      </bottom>
    </border>
    <border>
      <left style="thin"/>
      <right style="medium"/>
      <top style="hair">
        <color rgb="FF969696"/>
      </top>
      <bottom style="hair">
        <color rgb="FF969696"/>
      </bottom>
    </border>
    <border>
      <left style="medium"/>
      <right/>
      <top style="hair">
        <color rgb="FF969696"/>
      </top>
      <bottom style="thin">
        <color rgb="FF969696"/>
      </bottom>
    </border>
    <border>
      <left style="thin"/>
      <right style="medium"/>
      <top style="hair">
        <color rgb="FF969696"/>
      </top>
      <bottom style="thin">
        <color rgb="FF969696"/>
      </bottom>
    </border>
    <border>
      <left style="medium"/>
      <right/>
      <top style="thin">
        <color rgb="FF969696"/>
      </top>
      <bottom style="thin">
        <color rgb="FF969696"/>
      </bottom>
    </border>
    <border>
      <left style="thin"/>
      <right style="medium"/>
      <top style="thin">
        <color rgb="FF969696"/>
      </top>
      <bottom style="thin">
        <color rgb="FF969696"/>
      </bottom>
    </border>
    <border>
      <left style="thin"/>
      <right style="medium"/>
      <top style="thin">
        <color rgb="FF969696"/>
      </top>
      <bottom style="hair">
        <color rgb="FF969696"/>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style="thin">
        <color rgb="FF808080"/>
      </top>
      <bottom style="thin">
        <color rgb="FF808080"/>
      </bottom>
    </border>
    <border>
      <left style="thin"/>
      <right style="medium"/>
      <top style="thin">
        <color rgb="FF808080"/>
      </top>
      <bottom/>
    </border>
    <border>
      <left style="thin"/>
      <right style="medium"/>
      <top style="double"/>
      <bottom style="medium"/>
    </border>
    <border>
      <left>
        <color indexed="63"/>
      </left>
      <right>
        <color indexed="63"/>
      </right>
      <top style="medium"/>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color indexed="63"/>
      </top>
      <bottom style="hair">
        <color rgb="FF969696"/>
      </bottom>
    </border>
    <border>
      <left style="hair"/>
      <right style="thin"/>
      <top>
        <color indexed="63"/>
      </top>
      <bottom style="hair">
        <color rgb="FF969696"/>
      </bottom>
    </border>
    <border>
      <left style="hair"/>
      <right/>
      <top/>
      <bottom style="hair">
        <color rgb="FF969696"/>
      </bottom>
    </border>
    <border>
      <left style="hair"/>
      <right style="hair"/>
      <top>
        <color indexed="63"/>
      </top>
      <bottom style="hair">
        <color rgb="FF969696"/>
      </bottom>
    </border>
    <border>
      <left style="thin"/>
      <right style="hair"/>
      <top style="hair">
        <color rgb="FF969696"/>
      </top>
      <bottom style="hair">
        <color rgb="FF969696"/>
      </bottom>
    </border>
    <border>
      <left style="hair"/>
      <right style="thin"/>
      <top style="hair">
        <color rgb="FF969696"/>
      </top>
      <bottom style="hair">
        <color rgb="FF969696"/>
      </bottom>
    </border>
    <border>
      <left style="hair"/>
      <right/>
      <top style="hair">
        <color rgb="FF969696"/>
      </top>
      <bottom style="hair">
        <color rgb="FF969696"/>
      </bottom>
    </border>
    <border>
      <left style="thin"/>
      <right style="hair"/>
      <top style="hair">
        <color rgb="FF969696"/>
      </top>
      <bottom style="thin">
        <color rgb="FF969696"/>
      </bottom>
    </border>
    <border>
      <left style="hair"/>
      <right style="thin"/>
      <top style="hair">
        <color rgb="FF969696"/>
      </top>
      <bottom style="thin">
        <color rgb="FF969696"/>
      </bottom>
    </border>
    <border>
      <left style="hair"/>
      <right/>
      <top style="hair">
        <color rgb="FF969696"/>
      </top>
      <bottom style="thin">
        <color rgb="FF969696"/>
      </bottom>
    </border>
    <border>
      <left style="hair"/>
      <right style="hair"/>
      <top style="hair">
        <color rgb="FF969696"/>
      </top>
      <bottom style="thin">
        <color rgb="FF969696"/>
      </bottom>
    </border>
    <border>
      <left style="thin"/>
      <right/>
      <top style="thin">
        <color rgb="FF969696"/>
      </top>
      <bottom style="hair"/>
    </border>
    <border>
      <left style="hair"/>
      <right style="thin"/>
      <top style="thin">
        <color rgb="FF969696"/>
      </top>
      <bottom style="hair"/>
    </border>
    <border>
      <left style="thin"/>
      <right style="hair"/>
      <top style="thin">
        <color rgb="FF969696"/>
      </top>
      <bottom style="hair"/>
    </border>
    <border>
      <left style="thin"/>
      <right style="hair"/>
      <top style="thin">
        <color rgb="FF969696"/>
      </top>
      <bottom style="thin">
        <color rgb="FF969696"/>
      </bottom>
    </border>
    <border>
      <left style="hair"/>
      <right style="hair"/>
      <top style="thin">
        <color rgb="FF969696"/>
      </top>
      <bottom style="thin">
        <color rgb="FF969696"/>
      </bottom>
    </border>
    <border>
      <left style="hair"/>
      <right/>
      <top style="thin">
        <color rgb="FF969696"/>
      </top>
      <bottom style="thin">
        <color rgb="FF969696"/>
      </bottom>
    </border>
    <border>
      <left style="hair"/>
      <right style="hair"/>
      <top style="hair">
        <color rgb="FF969696"/>
      </top>
      <bottom style="hair">
        <color rgb="FF969696"/>
      </bottom>
    </border>
    <border>
      <left style="thin"/>
      <right/>
      <top style="thin">
        <color rgb="FF969696"/>
      </top>
      <bottom style="double"/>
    </border>
    <border>
      <left style="hair"/>
      <right style="thin"/>
      <top style="thin">
        <color rgb="FF969696"/>
      </top>
      <bottom style="double"/>
    </border>
    <border>
      <left style="thin"/>
      <right style="hair"/>
      <top style="thin">
        <color rgb="FF969696"/>
      </top>
      <bottom style="double"/>
    </border>
    <border>
      <left style="thin"/>
      <right style="hair"/>
      <top style="thin">
        <color rgb="FF969696"/>
      </top>
      <bottom/>
    </border>
    <border>
      <left style="hair"/>
      <right style="hair"/>
      <top style="thin">
        <color rgb="FF969696"/>
      </top>
      <bottom/>
    </border>
    <border>
      <left style="hair"/>
      <right/>
      <top style="thin">
        <color rgb="FF969696"/>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thin"/>
      <right style="hair"/>
      <top style="hair">
        <color indexed="55"/>
      </top>
      <bottom style="medium"/>
    </border>
    <border>
      <left style="hair"/>
      <right style="medium"/>
      <top style="hair">
        <color indexed="55"/>
      </top>
      <bottom style="medium"/>
    </border>
    <border>
      <left>
        <color indexed="63"/>
      </left>
      <right/>
      <top style="hair"/>
      <bottom style="thin"/>
    </border>
    <border>
      <left style="thin"/>
      <right/>
      <top style="hair"/>
      <bottom style="thin"/>
    </border>
    <border>
      <left style="thin"/>
      <right style="hair"/>
      <top style="hair"/>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style="thin"/>
      <bottom>
        <color indexed="63"/>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4" fillId="0" borderId="0" applyNumberFormat="0" applyFill="0" applyBorder="0" applyAlignment="0" applyProtection="0"/>
    <xf numFmtId="0" fontId="49" fillId="32" borderId="0" applyNumberFormat="0" applyBorder="0" applyAlignment="0" applyProtection="0"/>
  </cellStyleXfs>
  <cellXfs count="271">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right" vertical="center"/>
    </xf>
    <xf numFmtId="0" fontId="6" fillId="0" borderId="18" xfId="0" applyFont="1" applyBorder="1" applyAlignment="1">
      <alignment horizontal="right" vertical="center"/>
    </xf>
    <xf numFmtId="0" fontId="2" fillId="0" borderId="19" xfId="0" applyFont="1" applyBorder="1" applyAlignment="1">
      <alignment horizontal="right" vertical="center"/>
    </xf>
    <xf numFmtId="3" fontId="2" fillId="0" borderId="18" xfId="0" applyNumberFormat="1" applyFont="1" applyBorder="1" applyAlignment="1">
      <alignment horizontal="right" vertical="center"/>
    </xf>
    <xf numFmtId="3" fontId="2" fillId="0" borderId="19" xfId="0" applyNumberFormat="1" applyFont="1" applyBorder="1" applyAlignment="1">
      <alignment horizontal="right" vertical="center"/>
    </xf>
    <xf numFmtId="3" fontId="2" fillId="33" borderId="20"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0" fontId="2" fillId="0" borderId="20" xfId="0" applyFont="1" applyBorder="1" applyAlignment="1">
      <alignment horizontal="distributed" vertical="center"/>
    </xf>
    <xf numFmtId="0" fontId="2" fillId="0" borderId="22" xfId="0" applyFont="1" applyBorder="1" applyAlignment="1">
      <alignment horizontal="distributed" vertical="center"/>
    </xf>
    <xf numFmtId="0" fontId="6" fillId="0" borderId="22" xfId="0" applyFont="1" applyBorder="1" applyAlignment="1">
      <alignment horizontal="distributed" vertical="center"/>
    </xf>
    <xf numFmtId="0" fontId="2" fillId="0" borderId="23" xfId="0" applyFont="1" applyBorder="1" applyAlignment="1">
      <alignment horizontal="distributed" vertical="center"/>
    </xf>
    <xf numFmtId="0" fontId="6" fillId="0" borderId="24" xfId="0" applyFont="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2" fillId="0" borderId="28" xfId="0" applyFont="1" applyBorder="1" applyAlignment="1">
      <alignment horizontal="distributed" vertical="center"/>
    </xf>
    <xf numFmtId="0" fontId="7" fillId="33" borderId="10" xfId="0" applyFont="1" applyFill="1" applyBorder="1" applyAlignment="1">
      <alignment horizontal="right" vertical="top"/>
    </xf>
    <xf numFmtId="0" fontId="7" fillId="34" borderId="29"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8" xfId="0" applyFont="1" applyBorder="1" applyAlignment="1">
      <alignment horizontal="center" vertical="center"/>
    </xf>
    <xf numFmtId="3" fontId="2" fillId="0" borderId="18" xfId="0" applyNumberFormat="1" applyFont="1" applyBorder="1" applyAlignment="1">
      <alignment horizontal="center" vertical="center"/>
    </xf>
    <xf numFmtId="0" fontId="2" fillId="0" borderId="30"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0" borderId="32"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3" xfId="0" applyNumberFormat="1" applyFont="1" applyFill="1" applyBorder="1" applyAlignment="1">
      <alignment horizontal="right" vertical="center"/>
    </xf>
    <xf numFmtId="0" fontId="2" fillId="0" borderId="32"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7" fillId="34" borderId="37" xfId="0" applyFont="1" applyFill="1" applyBorder="1" applyAlignment="1">
      <alignment horizontal="right"/>
    </xf>
    <xf numFmtId="0" fontId="5" fillId="0" borderId="0" xfId="0" applyFont="1" applyAlignment="1">
      <alignment horizontal="center" vertical="top"/>
    </xf>
    <xf numFmtId="0" fontId="2" fillId="0" borderId="20"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38" xfId="0" applyFont="1" applyBorder="1" applyAlignment="1">
      <alignment horizontal="distributed" vertical="center" indent="1"/>
    </xf>
    <xf numFmtId="0" fontId="10" fillId="0" borderId="0" xfId="61" applyFont="1" applyBorder="1" applyAlignment="1">
      <alignment horizontal="left" vertical="center"/>
      <protection/>
    </xf>
    <xf numFmtId="0" fontId="10" fillId="0" borderId="0" xfId="61" applyFont="1" applyBorder="1" applyAlignment="1">
      <alignment horizontal="left" vertical="top"/>
      <protection/>
    </xf>
    <xf numFmtId="0" fontId="10" fillId="0" borderId="39" xfId="61" applyFont="1" applyBorder="1" applyAlignment="1">
      <alignment horizontal="distributed" vertical="center" indent="1"/>
      <protection/>
    </xf>
    <xf numFmtId="0" fontId="10" fillId="0" borderId="40" xfId="61" applyFont="1" applyBorder="1" applyAlignment="1">
      <alignment horizontal="centerContinuous" vertical="center" wrapText="1"/>
      <protection/>
    </xf>
    <xf numFmtId="0" fontId="7" fillId="35" borderId="32" xfId="61" applyFont="1" applyFill="1" applyBorder="1" applyAlignment="1">
      <alignment horizontal="distributed" vertical="top"/>
      <protection/>
    </xf>
    <xf numFmtId="0" fontId="7" fillId="36" borderId="13" xfId="61" applyFont="1" applyFill="1" applyBorder="1" applyAlignment="1">
      <alignment horizontal="right" vertical="top"/>
      <protection/>
    </xf>
    <xf numFmtId="0" fontId="7" fillId="37" borderId="10" xfId="61" applyFont="1" applyFill="1" applyBorder="1" applyAlignment="1">
      <alignment horizontal="right" vertical="top"/>
      <protection/>
    </xf>
    <xf numFmtId="0" fontId="7" fillId="37" borderId="41" xfId="61" applyFont="1" applyFill="1" applyBorder="1" applyAlignment="1">
      <alignment horizontal="right" vertical="top"/>
      <protection/>
    </xf>
    <xf numFmtId="0" fontId="7" fillId="35" borderId="37" xfId="61" applyFont="1" applyFill="1" applyBorder="1" applyAlignment="1">
      <alignment horizontal="distributed" vertical="top"/>
      <protection/>
    </xf>
    <xf numFmtId="0" fontId="8" fillId="0" borderId="0" xfId="61" applyFont="1" applyBorder="1" applyAlignment="1">
      <alignment horizontal="right" vertical="top"/>
      <protection/>
    </xf>
    <xf numFmtId="0" fontId="10" fillId="35" borderId="42" xfId="61" applyFont="1" applyFill="1" applyBorder="1" applyAlignment="1">
      <alignment horizontal="distributed" vertical="center"/>
      <protection/>
    </xf>
    <xf numFmtId="0" fontId="10" fillId="35" borderId="43" xfId="61" applyFont="1" applyFill="1" applyBorder="1" applyAlignment="1">
      <alignment horizontal="distributed" vertical="center"/>
      <protection/>
    </xf>
    <xf numFmtId="0" fontId="9" fillId="0" borderId="0" xfId="61" applyFont="1" applyBorder="1">
      <alignment/>
      <protection/>
    </xf>
    <xf numFmtId="0" fontId="10" fillId="35" borderId="44" xfId="61" applyFont="1" applyFill="1" applyBorder="1" applyAlignment="1">
      <alignment horizontal="distributed" vertical="center"/>
      <protection/>
    </xf>
    <xf numFmtId="0" fontId="10" fillId="35" borderId="45" xfId="61" applyFont="1" applyFill="1" applyBorder="1" applyAlignment="1">
      <alignment horizontal="distributed" vertical="center"/>
      <protection/>
    </xf>
    <xf numFmtId="0" fontId="11" fillId="35" borderId="46" xfId="61" applyFont="1" applyFill="1" applyBorder="1" applyAlignment="1">
      <alignment horizontal="distributed" vertical="center"/>
      <protection/>
    </xf>
    <xf numFmtId="0" fontId="11" fillId="35" borderId="47" xfId="61" applyFont="1" applyFill="1" applyBorder="1" applyAlignment="1">
      <alignment horizontal="distributed" vertical="center"/>
      <protection/>
    </xf>
    <xf numFmtId="0" fontId="12" fillId="0" borderId="48" xfId="61" applyFont="1" applyFill="1" applyBorder="1" applyAlignment="1">
      <alignment horizontal="distributed" vertical="center"/>
      <protection/>
    </xf>
    <xf numFmtId="0" fontId="12" fillId="0" borderId="49" xfId="61" applyFont="1" applyFill="1" applyBorder="1" applyAlignment="1">
      <alignment horizontal="center" vertical="center"/>
      <protection/>
    </xf>
    <xf numFmtId="0" fontId="10" fillId="35" borderId="50" xfId="61" applyFont="1" applyFill="1" applyBorder="1" applyAlignment="1">
      <alignment horizontal="distributed" vertical="center"/>
      <protection/>
    </xf>
    <xf numFmtId="0" fontId="12" fillId="0" borderId="51" xfId="61" applyFont="1" applyFill="1" applyBorder="1" applyAlignment="1">
      <alignment horizontal="distributed" vertical="center"/>
      <protection/>
    </xf>
    <xf numFmtId="0" fontId="12" fillId="0" borderId="52" xfId="61" applyFont="1" applyFill="1" applyBorder="1" applyAlignment="1">
      <alignment horizontal="center" vertical="center"/>
      <protection/>
    </xf>
    <xf numFmtId="0" fontId="11" fillId="0" borderId="53" xfId="61" applyFont="1" applyBorder="1" applyAlignment="1">
      <alignment horizontal="center" vertical="center"/>
      <protection/>
    </xf>
    <xf numFmtId="0" fontId="11" fillId="0" borderId="54" xfId="61" applyFont="1" applyBorder="1" applyAlignment="1">
      <alignment horizontal="center" vertical="center"/>
      <protection/>
    </xf>
    <xf numFmtId="0" fontId="13" fillId="0" borderId="0" xfId="61" applyFont="1" applyBorder="1">
      <alignment/>
      <protection/>
    </xf>
    <xf numFmtId="0" fontId="8" fillId="0" borderId="0" xfId="61" applyFont="1" applyBorder="1" applyAlignment="1">
      <alignment vertical="top"/>
      <protection/>
    </xf>
    <xf numFmtId="0" fontId="10" fillId="35" borderId="32" xfId="61" applyFont="1" applyFill="1" applyBorder="1" applyAlignment="1">
      <alignment horizontal="distributed" vertical="top"/>
      <protection/>
    </xf>
    <xf numFmtId="0" fontId="10" fillId="36" borderId="13" xfId="61" applyFont="1" applyFill="1" applyBorder="1" applyAlignment="1">
      <alignment horizontal="right" vertical="top"/>
      <protection/>
    </xf>
    <xf numFmtId="0" fontId="10" fillId="37" borderId="10" xfId="61" applyFont="1" applyFill="1" applyBorder="1" applyAlignment="1">
      <alignment horizontal="right" vertical="top"/>
      <protection/>
    </xf>
    <xf numFmtId="0" fontId="10" fillId="36" borderId="29" xfId="61" applyFont="1" applyFill="1" applyBorder="1" applyAlignment="1">
      <alignment horizontal="right" vertical="top"/>
      <protection/>
    </xf>
    <xf numFmtId="0" fontId="10" fillId="36" borderId="41" xfId="61" applyFont="1" applyFill="1" applyBorder="1" applyAlignment="1">
      <alignment horizontal="right" vertical="top"/>
      <protection/>
    </xf>
    <xf numFmtId="0" fontId="10" fillId="35" borderId="37" xfId="61" applyFont="1" applyFill="1" applyBorder="1" applyAlignment="1">
      <alignment horizontal="distributed" vertical="top"/>
      <protection/>
    </xf>
    <xf numFmtId="0" fontId="13" fillId="0" borderId="0" xfId="61" applyFont="1" applyBorder="1" applyAlignment="1">
      <alignment vertical="top"/>
      <protection/>
    </xf>
    <xf numFmtId="0" fontId="14" fillId="35" borderId="42" xfId="61" applyFont="1" applyFill="1" applyBorder="1" applyAlignment="1">
      <alignment horizontal="distributed" vertical="center" shrinkToFit="1"/>
      <protection/>
    </xf>
    <xf numFmtId="0" fontId="14" fillId="35" borderId="43" xfId="61" applyFont="1" applyFill="1" applyBorder="1" applyAlignment="1">
      <alignment horizontal="distributed" vertical="center" shrinkToFit="1"/>
      <protection/>
    </xf>
    <xf numFmtId="0" fontId="14" fillId="35" borderId="44" xfId="61" applyFont="1" applyFill="1" applyBorder="1" applyAlignment="1">
      <alignment horizontal="distributed" vertical="center" shrinkToFit="1"/>
      <protection/>
    </xf>
    <xf numFmtId="0" fontId="14" fillId="35" borderId="45" xfId="61" applyFont="1" applyFill="1" applyBorder="1" applyAlignment="1">
      <alignment horizontal="distributed" vertical="center" shrinkToFit="1"/>
      <protection/>
    </xf>
    <xf numFmtId="0" fontId="9" fillId="35" borderId="46" xfId="61" applyFont="1" applyFill="1" applyBorder="1" applyAlignment="1">
      <alignment horizontal="distributed" vertical="center" shrinkToFit="1"/>
      <protection/>
    </xf>
    <xf numFmtId="0" fontId="9" fillId="35" borderId="47" xfId="61" applyFont="1" applyFill="1" applyBorder="1" applyAlignment="1">
      <alignment horizontal="distributed" vertical="center" shrinkToFit="1"/>
      <protection/>
    </xf>
    <xf numFmtId="0" fontId="15" fillId="0" borderId="48" xfId="61" applyFont="1" applyFill="1" applyBorder="1" applyAlignment="1">
      <alignment horizontal="distributed" vertical="center" shrinkToFit="1"/>
      <protection/>
    </xf>
    <xf numFmtId="0" fontId="15" fillId="0" borderId="55" xfId="61" applyFont="1" applyFill="1" applyBorder="1" applyAlignment="1">
      <alignment horizontal="center" vertical="center" shrinkToFit="1"/>
      <protection/>
    </xf>
    <xf numFmtId="0" fontId="10" fillId="35" borderId="42" xfId="61" applyFont="1" applyFill="1" applyBorder="1" applyAlignment="1">
      <alignment horizontal="distributed" vertical="center" shrinkToFit="1"/>
      <protection/>
    </xf>
    <xf numFmtId="0" fontId="10" fillId="35" borderId="45" xfId="61" applyFont="1" applyFill="1" applyBorder="1" applyAlignment="1">
      <alignment horizontal="distributed" vertical="center" shrinkToFit="1"/>
      <protection/>
    </xf>
    <xf numFmtId="0" fontId="15" fillId="0" borderId="51" xfId="61" applyFont="1" applyFill="1" applyBorder="1" applyAlignment="1">
      <alignment horizontal="distributed" vertical="center" shrinkToFit="1"/>
      <protection/>
    </xf>
    <xf numFmtId="0" fontId="15" fillId="0" borderId="56" xfId="61" applyFont="1" applyFill="1" applyBorder="1" applyAlignment="1">
      <alignment horizontal="center" vertical="center" shrinkToFit="1"/>
      <protection/>
    </xf>
    <xf numFmtId="0" fontId="11" fillId="0" borderId="53" xfId="61" applyFont="1" applyBorder="1" applyAlignment="1">
      <alignment horizontal="center" vertical="center" shrinkToFit="1"/>
      <protection/>
    </xf>
    <xf numFmtId="0" fontId="11" fillId="0" borderId="57" xfId="61" applyFont="1" applyBorder="1" applyAlignment="1">
      <alignment horizontal="center" vertical="center" shrinkToFit="1"/>
      <protection/>
    </xf>
    <xf numFmtId="0" fontId="10" fillId="0" borderId="58" xfId="61" applyFont="1" applyBorder="1" applyAlignment="1">
      <alignment vertical="center"/>
      <protection/>
    </xf>
    <xf numFmtId="0" fontId="10" fillId="0" borderId="39" xfId="61" applyFont="1" applyBorder="1" applyAlignment="1">
      <alignment horizontal="distributed" vertical="center" wrapText="1" indent="1"/>
      <protection/>
    </xf>
    <xf numFmtId="0" fontId="10" fillId="0" borderId="39" xfId="61" applyFont="1" applyBorder="1" applyAlignment="1">
      <alignment horizontal="centerContinuous" vertical="center" wrapText="1"/>
      <protection/>
    </xf>
    <xf numFmtId="0" fontId="2" fillId="0" borderId="0" xfId="0" applyFont="1" applyFill="1" applyBorder="1" applyAlignment="1">
      <alignment horizontal="distributed"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0" xfId="0" applyFont="1" applyFill="1" applyAlignment="1">
      <alignment horizontal="left" vertical="top"/>
    </xf>
    <xf numFmtId="0" fontId="2" fillId="0" borderId="0" xfId="0" applyFont="1" applyBorder="1" applyAlignment="1">
      <alignment horizontal="left" vertical="top" wrapText="1"/>
    </xf>
    <xf numFmtId="3" fontId="2" fillId="0" borderId="0" xfId="0" applyNumberFormat="1" applyFont="1" applyFill="1" applyBorder="1" applyAlignment="1">
      <alignment horizontal="right" vertical="center" indent="1"/>
    </xf>
    <xf numFmtId="3" fontId="2" fillId="0" borderId="0" xfId="0" applyNumberFormat="1" applyFont="1" applyFill="1" applyAlignment="1">
      <alignment horizontal="left" vertical="center"/>
    </xf>
    <xf numFmtId="0" fontId="2" fillId="0" borderId="0" xfId="0" applyFont="1" applyFill="1" applyAlignment="1">
      <alignment horizontal="left" vertical="center"/>
    </xf>
    <xf numFmtId="0" fontId="11" fillId="0" borderId="0" xfId="61" applyFont="1" applyFill="1" applyBorder="1" applyAlignment="1">
      <alignment horizontal="center" vertical="center"/>
      <protection/>
    </xf>
    <xf numFmtId="177" fontId="11" fillId="0" borderId="0" xfId="61" applyNumberFormat="1" applyFont="1" applyFill="1" applyBorder="1" applyAlignment="1">
      <alignment horizontal="right" vertical="center"/>
      <protection/>
    </xf>
    <xf numFmtId="0" fontId="9" fillId="0" borderId="0" xfId="61" applyFont="1" applyFill="1" applyBorder="1">
      <alignment/>
      <protection/>
    </xf>
    <xf numFmtId="3" fontId="2" fillId="34"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6" fillId="34" borderId="60" xfId="0" applyNumberFormat="1" applyFont="1" applyFill="1" applyBorder="1" applyAlignment="1">
      <alignment horizontal="right" vertical="center"/>
    </xf>
    <xf numFmtId="3" fontId="6" fillId="33" borderId="22" xfId="0" applyNumberFormat="1" applyFont="1" applyFill="1" applyBorder="1" applyAlignment="1">
      <alignment horizontal="right" vertical="center"/>
    </xf>
    <xf numFmtId="3" fontId="6" fillId="33" borderId="61" xfId="0" applyNumberFormat="1" applyFont="1" applyFill="1" applyBorder="1" applyAlignment="1">
      <alignment horizontal="right" vertical="center"/>
    </xf>
    <xf numFmtId="3" fontId="2" fillId="34" borderId="62" xfId="0" applyNumberFormat="1" applyFont="1" applyFill="1" applyBorder="1" applyAlignment="1">
      <alignment horizontal="right" vertical="center"/>
    </xf>
    <xf numFmtId="3" fontId="2" fillId="33" borderId="63" xfId="0" applyNumberFormat="1" applyFont="1" applyFill="1" applyBorder="1" applyAlignment="1">
      <alignment horizontal="right" vertical="center"/>
    </xf>
    <xf numFmtId="3" fontId="2" fillId="33" borderId="64" xfId="0" applyNumberFormat="1" applyFont="1" applyFill="1" applyBorder="1" applyAlignment="1">
      <alignment horizontal="right" vertical="center"/>
    </xf>
    <xf numFmtId="3" fontId="2" fillId="34" borderId="65" xfId="0" applyNumberFormat="1" applyFont="1" applyFill="1" applyBorder="1" applyAlignment="1">
      <alignment horizontal="right" vertical="center"/>
    </xf>
    <xf numFmtId="3" fontId="2" fillId="34" borderId="65" xfId="0" applyNumberFormat="1" applyFont="1" applyFill="1" applyBorder="1" applyAlignment="1">
      <alignment vertical="center"/>
    </xf>
    <xf numFmtId="3" fontId="2" fillId="34" borderId="60" xfId="0" applyNumberFormat="1" applyFont="1" applyFill="1" applyBorder="1" applyAlignment="1">
      <alignment vertical="center"/>
    </xf>
    <xf numFmtId="3" fontId="6" fillId="34" borderId="66" xfId="0" applyNumberFormat="1" applyFont="1" applyFill="1" applyBorder="1" applyAlignment="1">
      <alignment horizontal="right" vertical="center"/>
    </xf>
    <xf numFmtId="3" fontId="6" fillId="33" borderId="67" xfId="0" applyNumberFormat="1" applyFont="1" applyFill="1" applyBorder="1" applyAlignment="1">
      <alignment horizontal="right" vertical="center"/>
    </xf>
    <xf numFmtId="3" fontId="6" fillId="33" borderId="68" xfId="0" applyNumberFormat="1" applyFont="1" applyFill="1" applyBorder="1" applyAlignment="1">
      <alignment horizontal="right" vertical="center"/>
    </xf>
    <xf numFmtId="3" fontId="2" fillId="34" borderId="69" xfId="0" applyNumberFormat="1" applyFont="1" applyFill="1" applyBorder="1" applyAlignment="1">
      <alignment horizontal="right" vertical="center"/>
    </xf>
    <xf numFmtId="3" fontId="2" fillId="33"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177" fontId="14" fillId="36" borderId="72" xfId="61" applyNumberFormat="1" applyFont="1" applyFill="1" applyBorder="1" applyAlignment="1">
      <alignment horizontal="right" vertical="center" shrinkToFit="1"/>
      <protection/>
    </xf>
    <xf numFmtId="177" fontId="14" fillId="37" borderId="73" xfId="61" applyNumberFormat="1" applyFont="1" applyFill="1" applyBorder="1" applyAlignment="1">
      <alignment horizontal="right" vertical="center" shrinkToFit="1"/>
      <protection/>
    </xf>
    <xf numFmtId="177" fontId="14" fillId="37" borderId="74" xfId="61" applyNumberFormat="1" applyFont="1" applyFill="1" applyBorder="1" applyAlignment="1">
      <alignment horizontal="right" vertical="center" shrinkToFit="1"/>
      <protection/>
    </xf>
    <xf numFmtId="177" fontId="14" fillId="36" borderId="75" xfId="61" applyNumberFormat="1" applyFont="1" applyFill="1" applyBorder="1" applyAlignment="1">
      <alignment horizontal="right" vertical="center" shrinkToFit="1"/>
      <protection/>
    </xf>
    <xf numFmtId="177" fontId="14" fillId="36" borderId="74" xfId="61" applyNumberFormat="1" applyFont="1" applyFill="1" applyBorder="1" applyAlignment="1">
      <alignment horizontal="right" vertical="center" shrinkToFit="1"/>
      <protection/>
    </xf>
    <xf numFmtId="177" fontId="14" fillId="36" borderId="76" xfId="61" applyNumberFormat="1" applyFont="1" applyFill="1" applyBorder="1" applyAlignment="1">
      <alignment horizontal="right" vertical="center" shrinkToFit="1"/>
      <protection/>
    </xf>
    <xf numFmtId="177" fontId="14" fillId="37" borderId="77" xfId="61" applyNumberFormat="1" applyFont="1" applyFill="1" applyBorder="1" applyAlignment="1">
      <alignment horizontal="right" vertical="center" shrinkToFit="1"/>
      <protection/>
    </xf>
    <xf numFmtId="177" fontId="14" fillId="37" borderId="78" xfId="61" applyNumberFormat="1" applyFont="1" applyFill="1" applyBorder="1" applyAlignment="1">
      <alignment horizontal="right" vertical="center" shrinkToFit="1"/>
      <protection/>
    </xf>
    <xf numFmtId="177" fontId="9" fillId="36" borderId="79" xfId="61" applyNumberFormat="1" applyFont="1" applyFill="1" applyBorder="1" applyAlignment="1">
      <alignment horizontal="right" vertical="center" shrinkToFit="1"/>
      <protection/>
    </xf>
    <xf numFmtId="177" fontId="9" fillId="37" borderId="80" xfId="61" applyNumberFormat="1" applyFont="1" applyFill="1" applyBorder="1" applyAlignment="1">
      <alignment horizontal="right" vertical="center" shrinkToFit="1"/>
      <protection/>
    </xf>
    <xf numFmtId="177" fontId="9" fillId="37" borderId="81" xfId="61" applyNumberFormat="1" applyFont="1" applyFill="1" applyBorder="1" applyAlignment="1">
      <alignment horizontal="right" vertical="center" shrinkToFit="1"/>
      <protection/>
    </xf>
    <xf numFmtId="177" fontId="9" fillId="36" borderId="82" xfId="61" applyNumberFormat="1" applyFont="1" applyFill="1" applyBorder="1" applyAlignment="1">
      <alignment horizontal="right" vertical="center" shrinkToFit="1"/>
      <protection/>
    </xf>
    <xf numFmtId="177" fontId="9" fillId="36" borderId="81" xfId="61" applyNumberFormat="1" applyFont="1" applyFill="1" applyBorder="1" applyAlignment="1">
      <alignment horizontal="right" vertical="center" shrinkToFit="1"/>
      <protection/>
    </xf>
    <xf numFmtId="177" fontId="15" fillId="0" borderId="83" xfId="61" applyNumberFormat="1" applyFont="1" applyFill="1" applyBorder="1" applyAlignment="1">
      <alignment horizontal="right" vertical="center" shrinkToFit="1"/>
      <protection/>
    </xf>
    <xf numFmtId="177" fontId="15" fillId="0" borderId="84" xfId="61" applyNumberFormat="1" applyFont="1" applyFill="1" applyBorder="1" applyAlignment="1">
      <alignment horizontal="right" vertical="center" shrinkToFit="1"/>
      <protection/>
    </xf>
    <xf numFmtId="177" fontId="15" fillId="0" borderId="85" xfId="61" applyNumberFormat="1" applyFont="1" applyFill="1" applyBorder="1" applyAlignment="1">
      <alignment horizontal="right" vertical="center" shrinkToFit="1"/>
      <protection/>
    </xf>
    <xf numFmtId="177" fontId="14" fillId="0" borderId="86" xfId="61" applyNumberFormat="1" applyFont="1" applyFill="1" applyBorder="1" applyAlignment="1">
      <alignment horizontal="right" vertical="center" shrinkToFit="1"/>
      <protection/>
    </xf>
    <xf numFmtId="177" fontId="14" fillId="0" borderId="87" xfId="61" applyNumberFormat="1" applyFont="1" applyFill="1" applyBorder="1" applyAlignment="1">
      <alignment horizontal="right" vertical="center" shrinkToFit="1"/>
      <protection/>
    </xf>
    <xf numFmtId="177" fontId="14" fillId="0" borderId="88" xfId="61" applyNumberFormat="1" applyFont="1" applyFill="1" applyBorder="1" applyAlignment="1">
      <alignment horizontal="right" vertical="center" shrinkToFit="1"/>
      <protection/>
    </xf>
    <xf numFmtId="177" fontId="14" fillId="36" borderId="89" xfId="61" applyNumberFormat="1" applyFont="1" applyFill="1" applyBorder="1" applyAlignment="1">
      <alignment horizontal="right" vertical="center" shrinkToFit="1"/>
      <protection/>
    </xf>
    <xf numFmtId="177" fontId="14" fillId="36" borderId="78" xfId="61" applyNumberFormat="1" applyFont="1" applyFill="1" applyBorder="1" applyAlignment="1">
      <alignment horizontal="right" vertical="center" shrinkToFit="1"/>
      <protection/>
    </xf>
    <xf numFmtId="177" fontId="15" fillId="0" borderId="90" xfId="61" applyNumberFormat="1" applyFont="1" applyFill="1" applyBorder="1" applyAlignment="1">
      <alignment horizontal="right" vertical="center" shrinkToFit="1"/>
      <protection/>
    </xf>
    <xf numFmtId="177" fontId="15" fillId="0" borderId="91" xfId="61" applyNumberFormat="1" applyFont="1" applyFill="1" applyBorder="1" applyAlignment="1">
      <alignment horizontal="right" vertical="center" shrinkToFit="1"/>
      <protection/>
    </xf>
    <xf numFmtId="177" fontId="15" fillId="0" borderId="92" xfId="61" applyNumberFormat="1" applyFont="1" applyFill="1" applyBorder="1" applyAlignment="1">
      <alignment horizontal="right" vertical="center" shrinkToFit="1"/>
      <protection/>
    </xf>
    <xf numFmtId="177" fontId="14" fillId="0" borderId="93" xfId="61" applyNumberFormat="1" applyFont="1" applyFill="1" applyBorder="1" applyAlignment="1">
      <alignment horizontal="right" vertical="center" shrinkToFit="1"/>
      <protection/>
    </xf>
    <xf numFmtId="177" fontId="14" fillId="0" borderId="94" xfId="61" applyNumberFormat="1" applyFont="1" applyFill="1" applyBorder="1" applyAlignment="1">
      <alignment horizontal="right" vertical="center" shrinkToFit="1"/>
      <protection/>
    </xf>
    <xf numFmtId="177" fontId="14" fillId="0" borderId="95" xfId="61" applyNumberFormat="1" applyFont="1" applyFill="1" applyBorder="1" applyAlignment="1">
      <alignment horizontal="right" vertical="center" shrinkToFit="1"/>
      <protection/>
    </xf>
    <xf numFmtId="177" fontId="11" fillId="36" borderId="19" xfId="61" applyNumberFormat="1" applyFont="1" applyFill="1" applyBorder="1" applyAlignment="1">
      <alignment horizontal="right" vertical="center" shrinkToFit="1"/>
      <protection/>
    </xf>
    <xf numFmtId="177" fontId="11" fillId="37" borderId="70" xfId="61" applyNumberFormat="1" applyFont="1" applyFill="1" applyBorder="1" applyAlignment="1">
      <alignment horizontal="right" vertical="center" shrinkToFit="1"/>
      <protection/>
    </xf>
    <xf numFmtId="177" fontId="11" fillId="37" borderId="96" xfId="61" applyNumberFormat="1" applyFont="1" applyFill="1" applyBorder="1" applyAlignment="1">
      <alignment horizontal="right" vertical="center" shrinkToFit="1"/>
      <protection/>
    </xf>
    <xf numFmtId="177" fontId="11" fillId="36" borderId="97" xfId="61" applyNumberFormat="1" applyFont="1" applyFill="1" applyBorder="1" applyAlignment="1">
      <alignment horizontal="right" vertical="center" shrinkToFit="1"/>
      <protection/>
    </xf>
    <xf numFmtId="177" fontId="11" fillId="36" borderId="98" xfId="61" applyNumberFormat="1" applyFont="1" applyFill="1" applyBorder="1" applyAlignment="1">
      <alignment horizontal="right" vertical="center" shrinkToFit="1"/>
      <protection/>
    </xf>
    <xf numFmtId="177" fontId="11" fillId="36" borderId="99" xfId="61" applyNumberFormat="1" applyFont="1" applyFill="1" applyBorder="1" applyAlignment="1">
      <alignment horizontal="right" vertical="center" shrinkToFit="1"/>
      <protection/>
    </xf>
    <xf numFmtId="0" fontId="0" fillId="0" borderId="0" xfId="61" applyFont="1" applyBorder="1">
      <alignment/>
      <protection/>
    </xf>
    <xf numFmtId="177" fontId="10" fillId="36" borderId="72" xfId="61" applyNumberFormat="1" applyFont="1" applyFill="1" applyBorder="1" applyAlignment="1">
      <alignment horizontal="right" vertical="center"/>
      <protection/>
    </xf>
    <xf numFmtId="177" fontId="10" fillId="37" borderId="73" xfId="61" applyNumberFormat="1" applyFont="1" applyFill="1" applyBorder="1" applyAlignment="1">
      <alignment horizontal="right" vertical="center"/>
      <protection/>
    </xf>
    <xf numFmtId="177" fontId="10" fillId="37" borderId="74" xfId="61" applyNumberFormat="1" applyFont="1" applyFill="1" applyBorder="1" applyAlignment="1">
      <alignment horizontal="right" vertical="center"/>
      <protection/>
    </xf>
    <xf numFmtId="177" fontId="10" fillId="36" borderId="76" xfId="61" applyNumberFormat="1" applyFont="1" applyFill="1" applyBorder="1" applyAlignment="1">
      <alignment horizontal="right" vertical="center"/>
      <protection/>
    </xf>
    <xf numFmtId="177" fontId="10" fillId="37" borderId="77" xfId="61" applyNumberFormat="1" applyFont="1" applyFill="1" applyBorder="1" applyAlignment="1">
      <alignment horizontal="right" vertical="center"/>
      <protection/>
    </xf>
    <xf numFmtId="177" fontId="10" fillId="37" borderId="78" xfId="61" applyNumberFormat="1" applyFont="1" applyFill="1" applyBorder="1" applyAlignment="1">
      <alignment horizontal="right" vertical="center"/>
      <protection/>
    </xf>
    <xf numFmtId="177" fontId="11" fillId="36" borderId="79" xfId="61" applyNumberFormat="1" applyFont="1" applyFill="1" applyBorder="1" applyAlignment="1">
      <alignment horizontal="right" vertical="center"/>
      <protection/>
    </xf>
    <xf numFmtId="177" fontId="11" fillId="37" borderId="80" xfId="61" applyNumberFormat="1" applyFont="1" applyFill="1" applyBorder="1" applyAlignment="1">
      <alignment horizontal="right" vertical="center"/>
      <protection/>
    </xf>
    <xf numFmtId="177" fontId="11" fillId="37" borderId="81" xfId="61" applyNumberFormat="1" applyFont="1" applyFill="1" applyBorder="1" applyAlignment="1">
      <alignment horizontal="right" vertical="center"/>
      <protection/>
    </xf>
    <xf numFmtId="177" fontId="12" fillId="0" borderId="83" xfId="61" applyNumberFormat="1" applyFont="1" applyFill="1" applyBorder="1" applyAlignment="1">
      <alignment horizontal="right" vertical="center"/>
      <protection/>
    </xf>
    <xf numFmtId="177" fontId="12" fillId="0" borderId="84" xfId="61" applyNumberFormat="1" applyFont="1" applyFill="1" applyBorder="1" applyAlignment="1">
      <alignment horizontal="right" vertical="center"/>
      <protection/>
    </xf>
    <xf numFmtId="177" fontId="12" fillId="0" borderId="85" xfId="61" applyNumberFormat="1" applyFont="1" applyFill="1" applyBorder="1" applyAlignment="1">
      <alignment horizontal="right" vertical="center"/>
      <protection/>
    </xf>
    <xf numFmtId="177" fontId="10" fillId="37" borderId="78" xfId="61" applyNumberFormat="1" applyFont="1" applyFill="1" applyBorder="1" applyAlignment="1">
      <alignment horizontal="right" vertical="center" shrinkToFit="1"/>
      <protection/>
    </xf>
    <xf numFmtId="177" fontId="12" fillId="0" borderId="90" xfId="61" applyNumberFormat="1" applyFont="1" applyFill="1" applyBorder="1" applyAlignment="1">
      <alignment horizontal="right" vertical="center"/>
      <protection/>
    </xf>
    <xf numFmtId="177" fontId="12" fillId="0" borderId="91" xfId="61" applyNumberFormat="1" applyFont="1" applyFill="1" applyBorder="1" applyAlignment="1">
      <alignment horizontal="right" vertical="center"/>
      <protection/>
    </xf>
    <xf numFmtId="177" fontId="12" fillId="0" borderId="92" xfId="61" applyNumberFormat="1" applyFont="1" applyFill="1" applyBorder="1" applyAlignment="1">
      <alignment horizontal="right" vertical="center"/>
      <protection/>
    </xf>
    <xf numFmtId="177" fontId="11" fillId="36" borderId="19" xfId="61" applyNumberFormat="1" applyFont="1" applyFill="1" applyBorder="1" applyAlignment="1">
      <alignment horizontal="right" vertical="center"/>
      <protection/>
    </xf>
    <xf numFmtId="177" fontId="11" fillId="37" borderId="70" xfId="61" applyNumberFormat="1" applyFont="1" applyFill="1" applyBorder="1" applyAlignment="1">
      <alignment horizontal="right" vertical="center"/>
      <protection/>
    </xf>
    <xf numFmtId="177" fontId="11" fillId="37" borderId="96" xfId="61" applyNumberFormat="1" applyFont="1" applyFill="1" applyBorder="1" applyAlignment="1">
      <alignment horizontal="right" vertical="center"/>
      <protection/>
    </xf>
    <xf numFmtId="0" fontId="0" fillId="0" borderId="0" xfId="61" applyFont="1" applyFill="1" applyBorder="1">
      <alignment/>
      <protection/>
    </xf>
    <xf numFmtId="0" fontId="0" fillId="0" borderId="0" xfId="61" applyFont="1" applyBorder="1" applyAlignment="1">
      <alignment horizontal="center"/>
      <protection/>
    </xf>
    <xf numFmtId="3" fontId="2" fillId="34" borderId="100"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101" xfId="0" applyNumberFormat="1" applyFont="1" applyFill="1" applyBorder="1" applyAlignment="1">
      <alignment horizontal="right" vertical="center"/>
    </xf>
    <xf numFmtId="0" fontId="10" fillId="0" borderId="102" xfId="61" applyFont="1" applyBorder="1" applyAlignment="1">
      <alignment horizontal="centerContinuous" vertical="center" wrapText="1"/>
      <protection/>
    </xf>
    <xf numFmtId="0" fontId="10" fillId="0" borderId="103" xfId="61" applyFont="1" applyBorder="1" applyAlignment="1">
      <alignment horizontal="centerContinuous" vertical="center" wrapText="1"/>
      <protection/>
    </xf>
    <xf numFmtId="0" fontId="10" fillId="0" borderId="104" xfId="61" applyFont="1" applyBorder="1" applyAlignment="1">
      <alignment horizontal="centerContinuous" vertical="center" wrapText="1"/>
      <protection/>
    </xf>
    <xf numFmtId="3" fontId="2" fillId="34" borderId="105" xfId="0" applyNumberFormat="1" applyFont="1" applyFill="1" applyBorder="1" applyAlignment="1">
      <alignment vertical="center"/>
    </xf>
    <xf numFmtId="3" fontId="2" fillId="34" borderId="106" xfId="0" applyNumberFormat="1" applyFont="1" applyFill="1" applyBorder="1" applyAlignment="1">
      <alignment vertical="center"/>
    </xf>
    <xf numFmtId="3" fontId="2" fillId="34" borderId="107" xfId="0" applyNumberFormat="1" applyFont="1" applyFill="1" applyBorder="1" applyAlignment="1">
      <alignment vertical="center"/>
    </xf>
    <xf numFmtId="3" fontId="2" fillId="34" borderId="54" xfId="0" applyNumberFormat="1" applyFont="1" applyFill="1" applyBorder="1" applyAlignment="1">
      <alignment vertical="center"/>
    </xf>
    <xf numFmtId="0" fontId="2" fillId="0" borderId="108" xfId="0" applyFont="1" applyBorder="1" applyAlignment="1">
      <alignment horizontal="distributed" vertical="center" wrapText="1"/>
    </xf>
    <xf numFmtId="0" fontId="2" fillId="0" borderId="108" xfId="0" applyFont="1" applyBorder="1" applyAlignment="1">
      <alignment horizontal="distributed" vertical="center"/>
    </xf>
    <xf numFmtId="0" fontId="2" fillId="0" borderId="109" xfId="0" applyFont="1" applyBorder="1" applyAlignment="1">
      <alignment horizontal="distributed" vertical="center"/>
    </xf>
    <xf numFmtId="0" fontId="2" fillId="0" borderId="110" xfId="0" applyFont="1" applyBorder="1" applyAlignment="1">
      <alignment horizontal="distributed" vertical="center" wrapText="1"/>
    </xf>
    <xf numFmtId="0" fontId="2" fillId="0" borderId="111" xfId="0" applyFont="1" applyBorder="1" applyAlignment="1">
      <alignment horizontal="distributed" vertical="center"/>
    </xf>
    <xf numFmtId="0" fontId="6" fillId="0" borderId="112" xfId="0" applyFont="1" applyBorder="1" applyAlignment="1">
      <alignment horizontal="distributed" vertical="center"/>
    </xf>
    <xf numFmtId="0" fontId="6" fillId="0" borderId="113" xfId="0" applyFont="1" applyBorder="1" applyAlignment="1">
      <alignment horizontal="distributed" vertical="center"/>
    </xf>
    <xf numFmtId="0" fontId="2" fillId="0" borderId="53" xfId="0" applyFont="1" applyBorder="1" applyAlignment="1">
      <alignment horizontal="distributed" vertical="center"/>
    </xf>
    <xf numFmtId="0" fontId="2" fillId="0" borderId="114" xfId="0" applyFont="1" applyBorder="1" applyAlignment="1">
      <alignment horizontal="distributed" vertical="center"/>
    </xf>
    <xf numFmtId="0" fontId="2" fillId="0" borderId="0" xfId="0" applyFont="1" applyBorder="1" applyAlignment="1">
      <alignment horizontal="left" vertical="top" wrapText="1"/>
    </xf>
    <xf numFmtId="0" fontId="2" fillId="0" borderId="0" xfId="0" applyFont="1" applyAlignment="1">
      <alignment horizontal="left" vertical="top" wrapText="1"/>
    </xf>
    <xf numFmtId="0" fontId="5" fillId="0" borderId="0" xfId="0" applyFont="1" applyAlignment="1">
      <alignment horizontal="center" vertical="top"/>
    </xf>
    <xf numFmtId="0" fontId="2" fillId="0" borderId="0" xfId="0" applyFont="1" applyAlignment="1">
      <alignment horizontal="left" vertical="top"/>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3" xfId="0" applyFont="1" applyBorder="1" applyAlignment="1">
      <alignment horizontal="center" vertical="center"/>
    </xf>
    <xf numFmtId="0" fontId="2" fillId="0" borderId="29" xfId="0" applyFont="1" applyBorder="1" applyAlignment="1">
      <alignment horizontal="center" vertical="center"/>
    </xf>
    <xf numFmtId="0" fontId="2" fillId="0" borderId="123" xfId="0" applyFont="1" applyBorder="1" applyAlignment="1">
      <alignment horizontal="center" vertical="center"/>
    </xf>
    <xf numFmtId="0" fontId="2" fillId="0" borderId="58" xfId="0" applyFont="1" applyBorder="1" applyAlignment="1">
      <alignment horizontal="center" vertical="center"/>
    </xf>
    <xf numFmtId="0" fontId="2" fillId="0" borderId="124" xfId="0" applyFont="1" applyBorder="1" applyAlignment="1">
      <alignment horizontal="center" vertical="center"/>
    </xf>
    <xf numFmtId="0" fontId="2" fillId="0" borderId="110" xfId="0" applyFont="1" applyBorder="1" applyAlignment="1">
      <alignment horizontal="distributed" vertical="center"/>
    </xf>
    <xf numFmtId="0" fontId="2" fillId="0" borderId="125" xfId="0" applyFont="1" applyBorder="1" applyAlignment="1">
      <alignment horizontal="distributed" vertical="center"/>
    </xf>
    <xf numFmtId="0" fontId="2" fillId="0" borderId="108" xfId="0" applyFont="1" applyBorder="1" applyAlignment="1">
      <alignment horizontal="distributed" vertical="center"/>
    </xf>
    <xf numFmtId="0" fontId="2" fillId="0" borderId="109" xfId="0" applyFont="1" applyBorder="1" applyAlignment="1">
      <alignment horizontal="distributed" vertical="center"/>
    </xf>
    <xf numFmtId="0" fontId="2" fillId="0" borderId="126" xfId="0" applyFont="1" applyBorder="1" applyAlignment="1">
      <alignment horizontal="distributed"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10" fillId="0" borderId="127" xfId="61" applyFont="1" applyBorder="1" applyAlignment="1">
      <alignment horizontal="center" vertical="center"/>
      <protection/>
    </xf>
    <xf numFmtId="0" fontId="10" fillId="0" borderId="128" xfId="61" applyFont="1" applyBorder="1" applyAlignment="1">
      <alignment horizontal="center" vertical="center"/>
      <protection/>
    </xf>
    <xf numFmtId="0" fontId="10" fillId="0" borderId="129" xfId="61" applyFont="1" applyBorder="1" applyAlignment="1">
      <alignment horizontal="center" vertical="center"/>
      <protection/>
    </xf>
    <xf numFmtId="0" fontId="10" fillId="0" borderId="130" xfId="61" applyFont="1" applyBorder="1" applyAlignment="1">
      <alignment horizontal="center" vertical="center"/>
      <protection/>
    </xf>
    <xf numFmtId="0" fontId="10" fillId="0" borderId="38" xfId="61" applyFont="1" applyBorder="1" applyAlignment="1">
      <alignment horizontal="distributed" vertical="center" wrapText="1"/>
      <protection/>
    </xf>
    <xf numFmtId="0" fontId="10" fillId="0" borderId="131" xfId="61" applyFont="1" applyBorder="1" applyAlignment="1">
      <alignment horizontal="distributed" vertical="center" wrapText="1"/>
      <protection/>
    </xf>
    <xf numFmtId="0" fontId="10" fillId="0" borderId="132" xfId="61" applyFont="1" applyBorder="1" applyAlignment="1">
      <alignment horizontal="distributed" vertical="center" wrapText="1"/>
      <protection/>
    </xf>
    <xf numFmtId="0" fontId="10" fillId="0" borderId="133" xfId="61" applyFont="1" applyBorder="1" applyAlignment="1">
      <alignment horizontal="distributed" vertical="center" indent="1"/>
      <protection/>
    </xf>
    <xf numFmtId="0" fontId="10" fillId="0" borderId="129" xfId="61" applyFont="1" applyBorder="1" applyAlignment="1">
      <alignment horizontal="distributed" vertical="center" indent="1"/>
      <protection/>
    </xf>
    <xf numFmtId="0" fontId="10" fillId="0" borderId="134" xfId="61" applyFont="1" applyBorder="1" applyAlignment="1">
      <alignment horizontal="distributed" vertical="center" indent="1"/>
      <protection/>
    </xf>
    <xf numFmtId="0" fontId="10" fillId="0" borderId="134" xfId="61" applyFont="1" applyBorder="1" applyAlignment="1">
      <alignment horizontal="center" vertical="center"/>
      <protection/>
    </xf>
    <xf numFmtId="0" fontId="10" fillId="0" borderId="0" xfId="61" applyFont="1" applyBorder="1" applyAlignment="1">
      <alignment horizontal="left" vertical="center"/>
      <protection/>
    </xf>
    <xf numFmtId="0" fontId="10" fillId="0" borderId="115" xfId="61" applyFont="1" applyBorder="1" applyAlignment="1">
      <alignment horizontal="distributed" vertical="center"/>
      <protection/>
    </xf>
    <xf numFmtId="0" fontId="10" fillId="0" borderId="117" xfId="61" applyFont="1" applyBorder="1" applyAlignment="1">
      <alignment horizontal="distributed" vertical="center"/>
      <protection/>
    </xf>
    <xf numFmtId="0" fontId="10" fillId="0" borderId="135" xfId="61" applyFont="1" applyBorder="1" applyAlignment="1">
      <alignment horizontal="distributed" vertical="center"/>
      <protection/>
    </xf>
    <xf numFmtId="0" fontId="10" fillId="0" borderId="136" xfId="61" applyFont="1" applyBorder="1" applyAlignment="1">
      <alignment horizontal="center" vertical="center"/>
      <protection/>
    </xf>
    <xf numFmtId="0" fontId="10" fillId="0" borderId="127" xfId="61" applyFont="1" applyBorder="1" applyAlignment="1">
      <alignment horizontal="distributed" vertical="center" indent="1"/>
      <protection/>
    </xf>
    <xf numFmtId="0" fontId="10" fillId="0" borderId="128" xfId="61" applyFont="1" applyBorder="1" applyAlignment="1">
      <alignment horizontal="distributed" vertical="center" indent="1"/>
      <protection/>
    </xf>
    <xf numFmtId="0" fontId="10" fillId="0" borderId="130" xfId="61" applyFont="1" applyBorder="1" applyAlignment="1">
      <alignment horizontal="distributed" vertical="center" indent="1"/>
      <protection/>
    </xf>
    <xf numFmtId="0" fontId="10" fillId="0" borderId="127" xfId="61" applyFont="1" applyBorder="1" applyAlignment="1">
      <alignment horizontal="distributed" vertical="center" wrapText="1" indent="1"/>
      <protection/>
    </xf>
    <xf numFmtId="0" fontId="10" fillId="0" borderId="137" xfId="61" applyFont="1" applyBorder="1" applyAlignment="1">
      <alignment horizontal="left" vertical="center"/>
      <protection/>
    </xf>
    <xf numFmtId="0" fontId="10" fillId="0" borderId="136" xfId="61" applyFont="1" applyBorder="1" applyAlignment="1">
      <alignment horizontal="distributed" vertical="center" indent="1"/>
      <protection/>
    </xf>
    <xf numFmtId="0" fontId="10" fillId="0" borderId="136" xfId="61" applyFont="1" applyBorder="1" applyAlignment="1">
      <alignment horizontal="distributed" vertical="center" wrapText="1" indent="1"/>
      <protection/>
    </xf>
    <xf numFmtId="0" fontId="10" fillId="0" borderId="133" xfId="61" applyFont="1" applyBorder="1" applyAlignment="1">
      <alignment horizontal="center" vertical="center"/>
      <protection/>
    </xf>
    <xf numFmtId="0" fontId="10" fillId="0" borderId="138" xfId="61" applyFont="1" applyBorder="1" applyAlignment="1">
      <alignment horizontal="center" vertical="center"/>
      <protection/>
    </xf>
    <xf numFmtId="0" fontId="10" fillId="0" borderId="139" xfId="61" applyFont="1" applyBorder="1" applyAlignment="1">
      <alignment horizontal="center" vertical="center"/>
      <protection/>
    </xf>
    <xf numFmtId="0" fontId="10" fillId="0" borderId="140" xfId="61" applyFont="1" applyBorder="1" applyAlignment="1">
      <alignment horizontal="distributed" vertical="center" wrapText="1"/>
      <protection/>
    </xf>
    <xf numFmtId="0" fontId="10" fillId="0" borderId="141" xfId="61" applyFont="1" applyBorder="1" applyAlignment="1">
      <alignment horizontal="distributed" vertical="center"/>
      <protection/>
    </xf>
    <xf numFmtId="0" fontId="10" fillId="0" borderId="142" xfId="61" applyFont="1" applyBorder="1" applyAlignment="1">
      <alignment horizontal="distributed" vertical="center" wrapText="1"/>
      <protection/>
    </xf>
    <xf numFmtId="0" fontId="10" fillId="0" borderId="143" xfId="61" applyFont="1" applyBorder="1" applyAlignment="1">
      <alignment horizontal="distributed" vertical="center"/>
      <protection/>
    </xf>
    <xf numFmtId="0" fontId="10" fillId="0" borderId="144" xfId="61" applyFont="1" applyBorder="1" applyAlignment="1">
      <alignment horizontal="distributed" vertical="center" wrapText="1"/>
      <protection/>
    </xf>
    <xf numFmtId="0" fontId="10" fillId="0" borderId="145" xfId="61" applyFont="1" applyBorder="1" applyAlignment="1">
      <alignment horizontal="distributed" vertical="center" wrapText="1"/>
      <protection/>
    </xf>
    <xf numFmtId="0" fontId="10" fillId="0" borderId="40"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19"/>
  <sheetViews>
    <sheetView showGridLines="0" tabSelected="1"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customWidth="1"/>
    <col min="9" max="9" width="3.00390625" style="1" customWidth="1"/>
    <col min="10" max="10" width="6.75390625" style="1" customWidth="1"/>
    <col min="11" max="11" width="11.375" style="1" bestFit="1" customWidth="1"/>
    <col min="12" max="16384" width="5.875" style="1" customWidth="1"/>
  </cols>
  <sheetData>
    <row r="1" spans="1:11" ht="15">
      <c r="A1" s="216" t="s">
        <v>0</v>
      </c>
      <c r="B1" s="216"/>
      <c r="C1" s="216"/>
      <c r="D1" s="216"/>
      <c r="E1" s="216"/>
      <c r="F1" s="216"/>
      <c r="G1" s="216"/>
      <c r="H1" s="216"/>
      <c r="I1" s="216"/>
      <c r="J1" s="216"/>
      <c r="K1" s="216"/>
    </row>
    <row r="2" spans="1:11" ht="15">
      <c r="A2" s="53"/>
      <c r="B2" s="53"/>
      <c r="C2" s="53"/>
      <c r="D2" s="53"/>
      <c r="E2" s="53"/>
      <c r="F2" s="53"/>
      <c r="G2" s="53"/>
      <c r="H2" s="53"/>
      <c r="I2" s="53"/>
      <c r="J2" s="53"/>
      <c r="K2" s="53"/>
    </row>
    <row r="3" spans="1:11" ht="12" thickBot="1">
      <c r="A3" s="217" t="s">
        <v>29</v>
      </c>
      <c r="B3" s="217"/>
      <c r="C3" s="217"/>
      <c r="D3" s="217"/>
      <c r="E3" s="217"/>
      <c r="F3" s="217"/>
      <c r="G3" s="217"/>
      <c r="H3" s="217"/>
      <c r="I3" s="217"/>
      <c r="J3" s="217"/>
      <c r="K3" s="217"/>
    </row>
    <row r="4" spans="1:11" ht="24" customHeight="1">
      <c r="A4" s="218" t="s">
        <v>1</v>
      </c>
      <c r="B4" s="219"/>
      <c r="C4" s="222" t="s">
        <v>15</v>
      </c>
      <c r="D4" s="223"/>
      <c r="E4" s="224"/>
      <c r="F4" s="222" t="s">
        <v>16</v>
      </c>
      <c r="G4" s="223"/>
      <c r="H4" s="224"/>
      <c r="I4" s="222" t="s">
        <v>17</v>
      </c>
      <c r="J4" s="223"/>
      <c r="K4" s="225"/>
    </row>
    <row r="5" spans="1:11" ht="24" customHeight="1">
      <c r="A5" s="220"/>
      <c r="B5" s="221"/>
      <c r="C5" s="226" t="s">
        <v>2</v>
      </c>
      <c r="D5" s="227"/>
      <c r="E5" s="6" t="s">
        <v>3</v>
      </c>
      <c r="F5" s="226" t="s">
        <v>2</v>
      </c>
      <c r="G5" s="227"/>
      <c r="H5" s="6" t="s">
        <v>3</v>
      </c>
      <c r="I5" s="226" t="s">
        <v>2</v>
      </c>
      <c r="J5" s="227"/>
      <c r="K5" s="14" t="s">
        <v>3</v>
      </c>
    </row>
    <row r="6" spans="1:11" ht="12" customHeight="1">
      <c r="A6" s="40"/>
      <c r="B6" s="43"/>
      <c r="C6" s="41"/>
      <c r="D6" s="33" t="s">
        <v>31</v>
      </c>
      <c r="E6" s="32" t="s">
        <v>30</v>
      </c>
      <c r="F6" s="41"/>
      <c r="G6" s="33" t="s">
        <v>31</v>
      </c>
      <c r="H6" s="32" t="s">
        <v>30</v>
      </c>
      <c r="I6" s="41"/>
      <c r="J6" s="33" t="s">
        <v>31</v>
      </c>
      <c r="K6" s="42" t="s">
        <v>30</v>
      </c>
    </row>
    <row r="7" spans="1:11" ht="30" customHeight="1">
      <c r="A7" s="205" t="s">
        <v>32</v>
      </c>
      <c r="B7" s="37" t="s">
        <v>18</v>
      </c>
      <c r="C7" s="15"/>
      <c r="D7" s="121">
        <v>58860</v>
      </c>
      <c r="E7" s="38">
        <v>39487468</v>
      </c>
      <c r="F7" s="18"/>
      <c r="G7" s="121">
        <v>155265</v>
      </c>
      <c r="H7" s="38">
        <v>1482766413</v>
      </c>
      <c r="I7" s="18"/>
      <c r="J7" s="121">
        <v>214125</v>
      </c>
      <c r="K7" s="39">
        <v>1522253881</v>
      </c>
    </row>
    <row r="8" spans="1:11" ht="30" customHeight="1">
      <c r="A8" s="206"/>
      <c r="B8" s="23" t="s">
        <v>19</v>
      </c>
      <c r="C8" s="15"/>
      <c r="D8" s="122">
        <v>91596</v>
      </c>
      <c r="E8" s="123">
        <v>38529611</v>
      </c>
      <c r="F8" s="18"/>
      <c r="G8" s="122">
        <v>59320</v>
      </c>
      <c r="H8" s="123">
        <v>35793215</v>
      </c>
      <c r="I8" s="18"/>
      <c r="J8" s="122">
        <v>150916</v>
      </c>
      <c r="K8" s="124">
        <v>74322826</v>
      </c>
    </row>
    <row r="9" spans="1:11" s="3" customFormat="1" ht="30" customHeight="1">
      <c r="A9" s="206"/>
      <c r="B9" s="24" t="s">
        <v>20</v>
      </c>
      <c r="C9" s="16"/>
      <c r="D9" s="125">
        <v>150456</v>
      </c>
      <c r="E9" s="126">
        <v>78017079</v>
      </c>
      <c r="F9" s="16"/>
      <c r="G9" s="125">
        <v>214585</v>
      </c>
      <c r="H9" s="126">
        <v>1518559627</v>
      </c>
      <c r="I9" s="16"/>
      <c r="J9" s="125">
        <v>365041</v>
      </c>
      <c r="K9" s="127">
        <v>1596576707</v>
      </c>
    </row>
    <row r="10" spans="1:11" ht="30" customHeight="1">
      <c r="A10" s="207"/>
      <c r="B10" s="25" t="s">
        <v>21</v>
      </c>
      <c r="C10" s="15"/>
      <c r="D10" s="128">
        <v>4192</v>
      </c>
      <c r="E10" s="129">
        <v>3539687</v>
      </c>
      <c r="F10" s="15"/>
      <c r="G10" s="128">
        <v>11672</v>
      </c>
      <c r="H10" s="129">
        <v>581475508</v>
      </c>
      <c r="I10" s="15"/>
      <c r="J10" s="128">
        <v>15864</v>
      </c>
      <c r="K10" s="130">
        <v>585015195</v>
      </c>
    </row>
    <row r="11" spans="1:11" ht="30" customHeight="1">
      <c r="A11" s="208" t="s">
        <v>33</v>
      </c>
      <c r="B11" s="54" t="s">
        <v>22</v>
      </c>
      <c r="C11" s="9"/>
      <c r="D11" s="131">
        <v>9202</v>
      </c>
      <c r="E11" s="20">
        <v>1769904</v>
      </c>
      <c r="F11" s="34"/>
      <c r="G11" s="132">
        <v>12584</v>
      </c>
      <c r="H11" s="20">
        <v>4777975</v>
      </c>
      <c r="I11" s="34"/>
      <c r="J11" s="132">
        <v>21786</v>
      </c>
      <c r="K11" s="21">
        <v>6547878</v>
      </c>
    </row>
    <row r="12" spans="1:11" ht="30" customHeight="1">
      <c r="A12" s="209"/>
      <c r="B12" s="55" t="s">
        <v>23</v>
      </c>
      <c r="C12" s="35"/>
      <c r="D12" s="122">
        <v>1122</v>
      </c>
      <c r="E12" s="123">
        <v>241185</v>
      </c>
      <c r="F12" s="36"/>
      <c r="G12" s="133">
        <v>1755</v>
      </c>
      <c r="H12" s="123">
        <v>2185122</v>
      </c>
      <c r="I12" s="36"/>
      <c r="J12" s="133">
        <v>2877</v>
      </c>
      <c r="K12" s="124">
        <v>2426307</v>
      </c>
    </row>
    <row r="13" spans="1:11" s="3" customFormat="1" ht="30" customHeight="1">
      <c r="A13" s="210" t="s">
        <v>6</v>
      </c>
      <c r="B13" s="211"/>
      <c r="C13" s="26" t="s">
        <v>14</v>
      </c>
      <c r="D13" s="134">
        <v>158203</v>
      </c>
      <c r="E13" s="135">
        <v>76006111</v>
      </c>
      <c r="F13" s="26" t="s">
        <v>14</v>
      </c>
      <c r="G13" s="134">
        <v>227665</v>
      </c>
      <c r="H13" s="135">
        <v>939676972</v>
      </c>
      <c r="I13" s="26" t="s">
        <v>14</v>
      </c>
      <c r="J13" s="134">
        <v>385868</v>
      </c>
      <c r="K13" s="136">
        <v>1015683083</v>
      </c>
    </row>
    <row r="14" spans="1:11" ht="30" customHeight="1" thickBot="1">
      <c r="A14" s="212" t="s">
        <v>7</v>
      </c>
      <c r="B14" s="213"/>
      <c r="C14" s="17"/>
      <c r="D14" s="137">
        <v>9155</v>
      </c>
      <c r="E14" s="138">
        <v>343179</v>
      </c>
      <c r="F14" s="19"/>
      <c r="G14" s="137">
        <v>9746</v>
      </c>
      <c r="H14" s="138">
        <v>703559</v>
      </c>
      <c r="I14" s="19"/>
      <c r="J14" s="137">
        <v>18901</v>
      </c>
      <c r="K14" s="139">
        <v>1046738</v>
      </c>
    </row>
    <row r="15" spans="1:11" s="113" customFormat="1" ht="3" customHeight="1">
      <c r="A15" s="110"/>
      <c r="B15" s="110"/>
      <c r="C15" s="111"/>
      <c r="D15" s="112"/>
      <c r="E15" s="112"/>
      <c r="F15" s="112"/>
      <c r="G15" s="112"/>
      <c r="H15" s="112"/>
      <c r="I15" s="112"/>
      <c r="J15" s="112"/>
      <c r="K15" s="112"/>
    </row>
    <row r="16" spans="1:11" s="4" customFormat="1" ht="37.5" customHeight="1">
      <c r="A16" s="114" t="s">
        <v>165</v>
      </c>
      <c r="B16" s="214" t="s">
        <v>236</v>
      </c>
      <c r="C16" s="214"/>
      <c r="D16" s="214"/>
      <c r="E16" s="214"/>
      <c r="F16" s="214"/>
      <c r="G16" s="214"/>
      <c r="H16" s="214"/>
      <c r="I16" s="214"/>
      <c r="J16" s="214"/>
      <c r="K16" s="214"/>
    </row>
    <row r="17" spans="2:11" ht="45" customHeight="1">
      <c r="B17" s="215" t="s">
        <v>228</v>
      </c>
      <c r="C17" s="215"/>
      <c r="D17" s="215"/>
      <c r="E17" s="215"/>
      <c r="F17" s="215"/>
      <c r="G17" s="215"/>
      <c r="H17" s="215"/>
      <c r="I17" s="215"/>
      <c r="J17" s="215"/>
      <c r="K17" s="215"/>
    </row>
    <row r="18" spans="1:2" ht="14.25" customHeight="1">
      <c r="A18" s="1" t="s">
        <v>166</v>
      </c>
      <c r="B18" s="1" t="s">
        <v>167</v>
      </c>
    </row>
    <row r="19" spans="1:2" ht="11.25">
      <c r="A19" s="58" t="s">
        <v>168</v>
      </c>
      <c r="B19" s="1" t="s">
        <v>235</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&amp;R名古屋国税局　消費税（H28）</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zoomScaleSheetLayoutView="100" workbookViewId="0" topLeftCell="A1">
      <selection activeCell="A1" sqref="A1"/>
    </sheetView>
  </sheetViews>
  <sheetFormatPr defaultColWidth="9.00390625" defaultRowHeight="13.5"/>
  <cols>
    <col min="1" max="1" width="10.625" style="57" customWidth="1"/>
    <col min="2" max="2" width="15.625" style="57" customWidth="1"/>
    <col min="3" max="3" width="8.625" style="57" customWidth="1"/>
    <col min="4" max="4" width="10.625" style="57" customWidth="1"/>
    <col min="5" max="5" width="8.625" style="57" customWidth="1"/>
    <col min="6" max="6" width="12.875" style="57" bestFit="1" customWidth="1"/>
    <col min="7" max="7" width="8.625" style="57" customWidth="1"/>
    <col min="8" max="8" width="12.875" style="57" bestFit="1" customWidth="1"/>
    <col min="9" max="16384" width="9.00390625" style="57" customWidth="1"/>
  </cols>
  <sheetData>
    <row r="1" s="1" customFormat="1" ht="12" thickBot="1">
      <c r="A1" s="1" t="s">
        <v>34</v>
      </c>
    </row>
    <row r="2" spans="1:8" s="1" customFormat="1" ht="15" customHeight="1">
      <c r="A2" s="218" t="s">
        <v>1</v>
      </c>
      <c r="B2" s="219"/>
      <c r="C2" s="228" t="s">
        <v>15</v>
      </c>
      <c r="D2" s="228"/>
      <c r="E2" s="228" t="s">
        <v>24</v>
      </c>
      <c r="F2" s="228"/>
      <c r="G2" s="229" t="s">
        <v>25</v>
      </c>
      <c r="H2" s="230"/>
    </row>
    <row r="3" spans="1:8" s="1" customFormat="1" ht="15" customHeight="1">
      <c r="A3" s="220"/>
      <c r="B3" s="221"/>
      <c r="C3" s="9" t="s">
        <v>26</v>
      </c>
      <c r="D3" s="6" t="s">
        <v>27</v>
      </c>
      <c r="E3" s="9" t="s">
        <v>26</v>
      </c>
      <c r="F3" s="7" t="s">
        <v>27</v>
      </c>
      <c r="G3" s="9" t="s">
        <v>26</v>
      </c>
      <c r="H3" s="8" t="s">
        <v>27</v>
      </c>
    </row>
    <row r="4" spans="1:8" s="10" customFormat="1" ht="15" customHeight="1">
      <c r="A4" s="45"/>
      <c r="B4" s="6"/>
      <c r="C4" s="46" t="s">
        <v>4</v>
      </c>
      <c r="D4" s="47" t="s">
        <v>5</v>
      </c>
      <c r="E4" s="46" t="s">
        <v>4</v>
      </c>
      <c r="F4" s="47" t="s">
        <v>5</v>
      </c>
      <c r="G4" s="46" t="s">
        <v>4</v>
      </c>
      <c r="H4" s="48" t="s">
        <v>5</v>
      </c>
    </row>
    <row r="5" spans="1:8" s="56" customFormat="1" ht="30" customHeight="1">
      <c r="A5" s="233" t="s">
        <v>163</v>
      </c>
      <c r="B5" s="37" t="s">
        <v>12</v>
      </c>
      <c r="C5" s="44">
        <v>153712</v>
      </c>
      <c r="D5" s="38">
        <v>49152267</v>
      </c>
      <c r="E5" s="44">
        <v>215943</v>
      </c>
      <c r="F5" s="38">
        <v>921343022</v>
      </c>
      <c r="G5" s="44">
        <v>369655</v>
      </c>
      <c r="H5" s="39">
        <v>970495289</v>
      </c>
    </row>
    <row r="6" spans="1:8" s="56" customFormat="1" ht="30" customHeight="1">
      <c r="A6" s="234"/>
      <c r="B6" s="25" t="s">
        <v>13</v>
      </c>
      <c r="C6" s="28">
        <v>3499</v>
      </c>
      <c r="D6" s="29">
        <v>1383975</v>
      </c>
      <c r="E6" s="28">
        <v>9215</v>
      </c>
      <c r="F6" s="29">
        <v>274011605</v>
      </c>
      <c r="G6" s="28">
        <v>12714</v>
      </c>
      <c r="H6" s="30">
        <v>275395580</v>
      </c>
    </row>
    <row r="7" spans="1:8" s="56" customFormat="1" ht="30" customHeight="1">
      <c r="A7" s="235" t="s">
        <v>164</v>
      </c>
      <c r="B7" s="22" t="s">
        <v>12</v>
      </c>
      <c r="C7" s="27">
        <v>151300</v>
      </c>
      <c r="D7" s="20">
        <v>48910848</v>
      </c>
      <c r="E7" s="27">
        <v>214781</v>
      </c>
      <c r="F7" s="20">
        <v>884729086</v>
      </c>
      <c r="G7" s="27">
        <v>366081</v>
      </c>
      <c r="H7" s="21">
        <v>933639934</v>
      </c>
    </row>
    <row r="8" spans="1:8" s="56" customFormat="1" ht="30" customHeight="1">
      <c r="A8" s="234"/>
      <c r="B8" s="25" t="s">
        <v>13</v>
      </c>
      <c r="C8" s="28">
        <v>3738</v>
      </c>
      <c r="D8" s="29">
        <v>1624932</v>
      </c>
      <c r="E8" s="28">
        <v>9818</v>
      </c>
      <c r="F8" s="29">
        <v>298920075</v>
      </c>
      <c r="G8" s="28">
        <v>13556</v>
      </c>
      <c r="H8" s="30">
        <v>300545007</v>
      </c>
    </row>
    <row r="9" spans="1:8" s="56" customFormat="1" ht="30" customHeight="1">
      <c r="A9" s="235" t="s">
        <v>225</v>
      </c>
      <c r="B9" s="22" t="s">
        <v>12</v>
      </c>
      <c r="C9" s="27">
        <v>150362</v>
      </c>
      <c r="D9" s="20">
        <v>69660505</v>
      </c>
      <c r="E9" s="27">
        <v>213979</v>
      </c>
      <c r="F9" s="20">
        <v>1267857516</v>
      </c>
      <c r="G9" s="27">
        <v>364341</v>
      </c>
      <c r="H9" s="21">
        <v>1337518021</v>
      </c>
    </row>
    <row r="10" spans="1:8" s="56" customFormat="1" ht="30" customHeight="1">
      <c r="A10" s="234"/>
      <c r="B10" s="25" t="s">
        <v>13</v>
      </c>
      <c r="C10" s="28">
        <v>4094</v>
      </c>
      <c r="D10" s="29">
        <v>2447865</v>
      </c>
      <c r="E10" s="28">
        <v>10805</v>
      </c>
      <c r="F10" s="29">
        <v>527261049</v>
      </c>
      <c r="G10" s="28">
        <v>14899</v>
      </c>
      <c r="H10" s="30">
        <v>529708915</v>
      </c>
    </row>
    <row r="11" spans="1:8" s="56" customFormat="1" ht="30" customHeight="1">
      <c r="A11" s="235" t="s">
        <v>229</v>
      </c>
      <c r="B11" s="22" t="s">
        <v>12</v>
      </c>
      <c r="C11" s="27">
        <v>149996</v>
      </c>
      <c r="D11" s="20">
        <v>77162897</v>
      </c>
      <c r="E11" s="27">
        <v>213781</v>
      </c>
      <c r="F11" s="20">
        <v>1492886948</v>
      </c>
      <c r="G11" s="27">
        <v>363777</v>
      </c>
      <c r="H11" s="21">
        <v>1570049845</v>
      </c>
    </row>
    <row r="12" spans="1:8" s="56" customFormat="1" ht="30" customHeight="1">
      <c r="A12" s="234"/>
      <c r="B12" s="25" t="s">
        <v>13</v>
      </c>
      <c r="C12" s="28">
        <v>4201</v>
      </c>
      <c r="D12" s="29">
        <v>3442565</v>
      </c>
      <c r="E12" s="28">
        <v>11419</v>
      </c>
      <c r="F12" s="29">
        <v>557756889</v>
      </c>
      <c r="G12" s="28">
        <v>15620</v>
      </c>
      <c r="H12" s="30">
        <v>561199454</v>
      </c>
    </row>
    <row r="13" spans="1:8" s="1" customFormat="1" ht="30" customHeight="1">
      <c r="A13" s="231" t="s">
        <v>230</v>
      </c>
      <c r="B13" s="22" t="s">
        <v>12</v>
      </c>
      <c r="C13" s="27">
        <v>150456</v>
      </c>
      <c r="D13" s="20">
        <v>78017079</v>
      </c>
      <c r="E13" s="27">
        <v>214585</v>
      </c>
      <c r="F13" s="20">
        <v>1518559627</v>
      </c>
      <c r="G13" s="27">
        <v>365041</v>
      </c>
      <c r="H13" s="21">
        <v>1596576707</v>
      </c>
    </row>
    <row r="14" spans="1:8" s="1" customFormat="1" ht="30" customHeight="1" thickBot="1">
      <c r="A14" s="232"/>
      <c r="B14" s="31" t="s">
        <v>13</v>
      </c>
      <c r="C14" s="195">
        <v>4192</v>
      </c>
      <c r="D14" s="196">
        <v>3539687</v>
      </c>
      <c r="E14" s="195">
        <v>11672</v>
      </c>
      <c r="F14" s="196">
        <v>581475508</v>
      </c>
      <c r="G14" s="195">
        <v>15864</v>
      </c>
      <c r="H14" s="197">
        <v>585015195</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086614173228347" right="0.7086614173228347" top="0.984251968503937" bottom="0.984251968503937" header="0.5118110236220472" footer="0.5118110236220472"/>
  <pageSetup horizontalDpi="600" verticalDpi="600" orientation="portrait" paperSize="9" r:id="rId1"/>
  <headerFooter alignWithMargins="0">
    <oddFooter>&amp;R名古屋国税局　消費税（H28）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7"/>
  <sheetViews>
    <sheetView showGridLines="0" zoomScaleSheetLayoutView="100" workbookViewId="0" topLeftCell="A1">
      <selection activeCell="A1" sqref="A1"/>
    </sheetView>
  </sheetViews>
  <sheetFormatPr defaultColWidth="9.00390625" defaultRowHeight="13.5"/>
  <cols>
    <col min="1" max="2" width="18.625" style="57" customWidth="1"/>
    <col min="3" max="3" width="23.625" style="57" customWidth="1"/>
    <col min="4" max="4" width="18.625" style="57" customWidth="1"/>
    <col min="5" max="16384" width="9.00390625" style="57" customWidth="1"/>
  </cols>
  <sheetData>
    <row r="1" s="1" customFormat="1" ht="20.25" customHeight="1" thickBot="1">
      <c r="A1" s="1" t="s">
        <v>28</v>
      </c>
    </row>
    <row r="2" spans="1:4" s="4" customFormat="1" ht="19.5" customHeight="1">
      <c r="A2" s="11" t="s">
        <v>8</v>
      </c>
      <c r="B2" s="12" t="s">
        <v>9</v>
      </c>
      <c r="C2" s="13" t="s">
        <v>10</v>
      </c>
      <c r="D2" s="59" t="s">
        <v>35</v>
      </c>
    </row>
    <row r="3" spans="1:4" s="10" customFormat="1" ht="15" customHeight="1">
      <c r="A3" s="49" t="s">
        <v>4</v>
      </c>
      <c r="B3" s="50" t="s">
        <v>4</v>
      </c>
      <c r="C3" s="51" t="s">
        <v>4</v>
      </c>
      <c r="D3" s="52" t="s">
        <v>4</v>
      </c>
    </row>
    <row r="4" spans="1:9" s="4" customFormat="1" ht="30" customHeight="1" thickBot="1">
      <c r="A4" s="201">
        <v>377688</v>
      </c>
      <c r="B4" s="202">
        <v>9381</v>
      </c>
      <c r="C4" s="203">
        <v>1112</v>
      </c>
      <c r="D4" s="204">
        <v>388181</v>
      </c>
      <c r="E4" s="5"/>
      <c r="G4" s="5"/>
      <c r="I4" s="5"/>
    </row>
    <row r="5" spans="1:9" s="117" customFormat="1" ht="3" customHeight="1">
      <c r="A5" s="115"/>
      <c r="B5" s="115"/>
      <c r="C5" s="115"/>
      <c r="D5" s="115"/>
      <c r="E5" s="116"/>
      <c r="G5" s="116"/>
      <c r="I5" s="116"/>
    </row>
    <row r="6" spans="1:4" s="4" customFormat="1" ht="15" customHeight="1">
      <c r="A6" s="236" t="s">
        <v>231</v>
      </c>
      <c r="B6" s="236"/>
      <c r="C6" s="236"/>
      <c r="D6" s="236"/>
    </row>
    <row r="7" spans="1:4" s="4" customFormat="1" ht="15" customHeight="1">
      <c r="A7" s="237" t="s">
        <v>11</v>
      </c>
      <c r="B7" s="237"/>
      <c r="C7" s="237"/>
      <c r="D7" s="237"/>
    </row>
  </sheetData>
  <sheetProtection/>
  <mergeCells count="2">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&amp;R名古屋国税局　消費税（H28）</oddFooter>
  </headerFooter>
</worksheet>
</file>

<file path=xl/worksheets/sheet4.xml><?xml version="1.0" encoding="utf-8"?>
<worksheet xmlns="http://schemas.openxmlformats.org/spreadsheetml/2006/main" xmlns:r="http://schemas.openxmlformats.org/officeDocument/2006/relationships">
  <dimension ref="A1:N65"/>
  <sheetViews>
    <sheetView zoomScale="85" zoomScaleNormal="85" zoomScaleSheetLayoutView="100" zoomScalePageLayoutView="115" workbookViewId="0" topLeftCell="A1">
      <selection activeCell="A1" sqref="A1"/>
    </sheetView>
  </sheetViews>
  <sheetFormatPr defaultColWidth="9.00390625" defaultRowHeight="13.5"/>
  <cols>
    <col min="1" max="1" width="11.375" style="173" customWidth="1"/>
    <col min="2" max="2" width="11.25390625" style="173" customWidth="1"/>
    <col min="3" max="3" width="12.625" style="173" customWidth="1"/>
    <col min="4" max="4" width="11.25390625" style="173" customWidth="1"/>
    <col min="5" max="5" width="12.625" style="173" customWidth="1"/>
    <col min="6" max="6" width="11.25390625" style="173" customWidth="1"/>
    <col min="7" max="7" width="12.625" style="173" customWidth="1"/>
    <col min="8" max="8" width="11.25390625" style="173" customWidth="1"/>
    <col min="9" max="9" width="12.625" style="173" customWidth="1"/>
    <col min="10" max="10" width="11.25390625" style="173" customWidth="1"/>
    <col min="11" max="11" width="12.625" style="173" customWidth="1"/>
    <col min="12" max="12" width="11.25390625" style="173" customWidth="1"/>
    <col min="13" max="13" width="12.625" style="173" customWidth="1"/>
    <col min="14" max="14" width="11.375" style="173" customWidth="1"/>
    <col min="15" max="16384" width="9.00390625" style="173" customWidth="1"/>
  </cols>
  <sheetData>
    <row r="1" spans="1:14" ht="13.5">
      <c r="A1" s="60" t="s">
        <v>233</v>
      </c>
      <c r="B1" s="60"/>
      <c r="C1" s="60"/>
      <c r="D1" s="60"/>
      <c r="E1" s="60"/>
      <c r="F1" s="60"/>
      <c r="G1" s="60"/>
      <c r="H1" s="61"/>
      <c r="I1" s="61"/>
      <c r="J1" s="61"/>
      <c r="K1" s="61"/>
      <c r="L1" s="61"/>
      <c r="M1" s="61"/>
      <c r="N1" s="61"/>
    </row>
    <row r="2" spans="1:14" ht="14.25" thickBot="1">
      <c r="A2" s="249" t="s">
        <v>36</v>
      </c>
      <c r="B2" s="249"/>
      <c r="C2" s="249"/>
      <c r="D2" s="249"/>
      <c r="E2" s="249"/>
      <c r="F2" s="249"/>
      <c r="G2" s="249"/>
      <c r="H2" s="61"/>
      <c r="I2" s="61"/>
      <c r="J2" s="61"/>
      <c r="K2" s="61"/>
      <c r="L2" s="61"/>
      <c r="M2" s="61"/>
      <c r="N2" s="61"/>
    </row>
    <row r="3" spans="1:14" ht="22.5" customHeight="1">
      <c r="A3" s="250" t="s">
        <v>154</v>
      </c>
      <c r="B3" s="253" t="s">
        <v>155</v>
      </c>
      <c r="C3" s="253"/>
      <c r="D3" s="253"/>
      <c r="E3" s="253"/>
      <c r="F3" s="253"/>
      <c r="G3" s="253"/>
      <c r="H3" s="254" t="s">
        <v>13</v>
      </c>
      <c r="I3" s="255"/>
      <c r="J3" s="257" t="s">
        <v>37</v>
      </c>
      <c r="K3" s="255"/>
      <c r="L3" s="238" t="s">
        <v>38</v>
      </c>
      <c r="M3" s="239"/>
      <c r="N3" s="242" t="s">
        <v>39</v>
      </c>
    </row>
    <row r="4" spans="1:14" ht="18.75" customHeight="1">
      <c r="A4" s="251"/>
      <c r="B4" s="245" t="s">
        <v>18</v>
      </c>
      <c r="C4" s="245"/>
      <c r="D4" s="246" t="s">
        <v>40</v>
      </c>
      <c r="E4" s="247"/>
      <c r="F4" s="240" t="s">
        <v>41</v>
      </c>
      <c r="G4" s="248"/>
      <c r="H4" s="246"/>
      <c r="I4" s="256"/>
      <c r="J4" s="246"/>
      <c r="K4" s="256"/>
      <c r="L4" s="240"/>
      <c r="M4" s="241"/>
      <c r="N4" s="243"/>
    </row>
    <row r="5" spans="1:14" s="194" customFormat="1" ht="33.75" customHeight="1">
      <c r="A5" s="252"/>
      <c r="B5" s="200" t="s">
        <v>224</v>
      </c>
      <c r="C5" s="62" t="s">
        <v>156</v>
      </c>
      <c r="D5" s="200" t="s">
        <v>224</v>
      </c>
      <c r="E5" s="62" t="s">
        <v>156</v>
      </c>
      <c r="F5" s="200" t="s">
        <v>224</v>
      </c>
      <c r="G5" s="63" t="s">
        <v>221</v>
      </c>
      <c r="H5" s="200" t="s">
        <v>224</v>
      </c>
      <c r="I5" s="63" t="s">
        <v>222</v>
      </c>
      <c r="J5" s="200" t="s">
        <v>224</v>
      </c>
      <c r="K5" s="63" t="s">
        <v>223</v>
      </c>
      <c r="L5" s="200" t="s">
        <v>224</v>
      </c>
      <c r="M5" s="63" t="s">
        <v>157</v>
      </c>
      <c r="N5" s="244"/>
    </row>
    <row r="6" spans="1:14" s="69" customFormat="1" ht="10.5">
      <c r="A6" s="64"/>
      <c r="B6" s="65" t="s">
        <v>4</v>
      </c>
      <c r="C6" s="66" t="s">
        <v>5</v>
      </c>
      <c r="D6" s="65" t="s">
        <v>4</v>
      </c>
      <c r="E6" s="66" t="s">
        <v>5</v>
      </c>
      <c r="F6" s="65" t="s">
        <v>4</v>
      </c>
      <c r="G6" s="66" t="s">
        <v>5</v>
      </c>
      <c r="H6" s="65" t="s">
        <v>4</v>
      </c>
      <c r="I6" s="67" t="s">
        <v>5</v>
      </c>
      <c r="J6" s="65" t="s">
        <v>4</v>
      </c>
      <c r="K6" s="67" t="s">
        <v>5</v>
      </c>
      <c r="L6" s="65" t="s">
        <v>232</v>
      </c>
      <c r="M6" s="67" t="s">
        <v>5</v>
      </c>
      <c r="N6" s="68"/>
    </row>
    <row r="7" spans="1:14" s="72" customFormat="1" ht="22.5" customHeight="1">
      <c r="A7" s="70" t="s">
        <v>45</v>
      </c>
      <c r="B7" s="174">
        <f>_xlfn.COMPOUNDVALUE(1)</f>
        <v>2053</v>
      </c>
      <c r="C7" s="175">
        <v>1195778</v>
      </c>
      <c r="D7" s="174">
        <f>_xlfn.COMPOUNDVALUE(2)</f>
        <v>2489</v>
      </c>
      <c r="E7" s="175">
        <v>1051183</v>
      </c>
      <c r="F7" s="174">
        <f>_xlfn.COMPOUNDVALUE(3)</f>
        <v>4542</v>
      </c>
      <c r="G7" s="175">
        <v>2246961</v>
      </c>
      <c r="H7" s="174">
        <f>_xlfn.COMPOUNDVALUE(4)</f>
        <v>132</v>
      </c>
      <c r="I7" s="176">
        <v>52395</v>
      </c>
      <c r="J7" s="174">
        <v>338</v>
      </c>
      <c r="K7" s="176">
        <v>61051</v>
      </c>
      <c r="L7" s="174">
        <v>4811</v>
      </c>
      <c r="M7" s="176">
        <v>2255617</v>
      </c>
      <c r="N7" s="71" t="s">
        <v>46</v>
      </c>
    </row>
    <row r="8" spans="1:14" s="72" customFormat="1" ht="22.5" customHeight="1">
      <c r="A8" s="73" t="s">
        <v>47</v>
      </c>
      <c r="B8" s="177">
        <f>_xlfn.COMPOUNDVALUE(5)</f>
        <v>1691</v>
      </c>
      <c r="C8" s="178">
        <v>1018672</v>
      </c>
      <c r="D8" s="177">
        <f>_xlfn.COMPOUNDVALUE(6)</f>
        <v>2001</v>
      </c>
      <c r="E8" s="178">
        <v>865693</v>
      </c>
      <c r="F8" s="177">
        <f>_xlfn.COMPOUNDVALUE(7)</f>
        <v>3692</v>
      </c>
      <c r="G8" s="178">
        <v>1884364</v>
      </c>
      <c r="H8" s="177">
        <f>_xlfn.COMPOUNDVALUE(8)</f>
        <v>101</v>
      </c>
      <c r="I8" s="179">
        <v>101837</v>
      </c>
      <c r="J8" s="177">
        <v>231</v>
      </c>
      <c r="K8" s="179">
        <v>40742</v>
      </c>
      <c r="L8" s="177">
        <v>3891</v>
      </c>
      <c r="M8" s="179">
        <v>1823269</v>
      </c>
      <c r="N8" s="74" t="s">
        <v>48</v>
      </c>
    </row>
    <row r="9" spans="1:14" s="72" customFormat="1" ht="22.5" customHeight="1">
      <c r="A9" s="73" t="s">
        <v>49</v>
      </c>
      <c r="B9" s="177">
        <f>_xlfn.COMPOUNDVALUE(9)</f>
        <v>1652</v>
      </c>
      <c r="C9" s="178">
        <v>1045080</v>
      </c>
      <c r="D9" s="177">
        <f>_xlfn.COMPOUNDVALUE(10)</f>
        <v>2278</v>
      </c>
      <c r="E9" s="178">
        <v>905246</v>
      </c>
      <c r="F9" s="177">
        <f>_xlfn.COMPOUNDVALUE(11)</f>
        <v>3930</v>
      </c>
      <c r="G9" s="178">
        <v>1950326</v>
      </c>
      <c r="H9" s="177">
        <f>_xlfn.COMPOUNDVALUE(12)</f>
        <v>128</v>
      </c>
      <c r="I9" s="179">
        <v>94078</v>
      </c>
      <c r="J9" s="177">
        <v>236</v>
      </c>
      <c r="K9" s="179">
        <v>35143</v>
      </c>
      <c r="L9" s="177">
        <v>4129</v>
      </c>
      <c r="M9" s="179">
        <v>1891390</v>
      </c>
      <c r="N9" s="74" t="s">
        <v>50</v>
      </c>
    </row>
    <row r="10" spans="1:14" s="72" customFormat="1" ht="22.5" customHeight="1">
      <c r="A10" s="73" t="s">
        <v>51</v>
      </c>
      <c r="B10" s="177">
        <f>_xlfn.COMPOUNDVALUE(13)</f>
        <v>701</v>
      </c>
      <c r="C10" s="178">
        <v>436778</v>
      </c>
      <c r="D10" s="177">
        <f>_xlfn.COMPOUNDVALUE(14)</f>
        <v>1401</v>
      </c>
      <c r="E10" s="178">
        <v>555214</v>
      </c>
      <c r="F10" s="177">
        <f>_xlfn.COMPOUNDVALUE(15)</f>
        <v>2102</v>
      </c>
      <c r="G10" s="178">
        <v>991992</v>
      </c>
      <c r="H10" s="177">
        <f>_xlfn.COMPOUNDVALUE(16)</f>
        <v>36</v>
      </c>
      <c r="I10" s="179">
        <v>19050</v>
      </c>
      <c r="J10" s="177">
        <v>177</v>
      </c>
      <c r="K10" s="179">
        <v>6573</v>
      </c>
      <c r="L10" s="177">
        <v>2164</v>
      </c>
      <c r="M10" s="179">
        <v>979514</v>
      </c>
      <c r="N10" s="74" t="s">
        <v>52</v>
      </c>
    </row>
    <row r="11" spans="1:14" s="72" customFormat="1" ht="22.5" customHeight="1">
      <c r="A11" s="73" t="s">
        <v>53</v>
      </c>
      <c r="B11" s="177">
        <f>_xlfn.COMPOUNDVALUE(17)</f>
        <v>1082</v>
      </c>
      <c r="C11" s="178">
        <v>681487</v>
      </c>
      <c r="D11" s="177">
        <f>_xlfn.COMPOUNDVALUE(18)</f>
        <v>1891</v>
      </c>
      <c r="E11" s="178">
        <v>752539</v>
      </c>
      <c r="F11" s="177">
        <f>_xlfn.COMPOUNDVALUE(19)</f>
        <v>2973</v>
      </c>
      <c r="G11" s="178">
        <v>1434026</v>
      </c>
      <c r="H11" s="177">
        <f>_xlfn.COMPOUNDVALUE(20)</f>
        <v>107</v>
      </c>
      <c r="I11" s="179">
        <v>55573</v>
      </c>
      <c r="J11" s="177">
        <v>171</v>
      </c>
      <c r="K11" s="179">
        <v>20114</v>
      </c>
      <c r="L11" s="177">
        <v>3148</v>
      </c>
      <c r="M11" s="179">
        <v>1398567</v>
      </c>
      <c r="N11" s="74" t="s">
        <v>54</v>
      </c>
    </row>
    <row r="12" spans="1:14" s="72" customFormat="1" ht="22.5" customHeight="1">
      <c r="A12" s="73" t="s">
        <v>55</v>
      </c>
      <c r="B12" s="177">
        <f>_xlfn.COMPOUNDVALUE(21)</f>
        <v>1362</v>
      </c>
      <c r="C12" s="178">
        <v>741728</v>
      </c>
      <c r="D12" s="177">
        <f>_xlfn.COMPOUNDVALUE(22)</f>
        <v>1854</v>
      </c>
      <c r="E12" s="178">
        <v>718148</v>
      </c>
      <c r="F12" s="177">
        <f>_xlfn.COMPOUNDVALUE(23)</f>
        <v>3216</v>
      </c>
      <c r="G12" s="178">
        <v>1459876</v>
      </c>
      <c r="H12" s="177">
        <f>_xlfn.COMPOUNDVALUE(24)</f>
        <v>100</v>
      </c>
      <c r="I12" s="179">
        <v>39026</v>
      </c>
      <c r="J12" s="177">
        <v>163</v>
      </c>
      <c r="K12" s="179">
        <v>16636</v>
      </c>
      <c r="L12" s="177">
        <v>3371</v>
      </c>
      <c r="M12" s="179">
        <v>1437486</v>
      </c>
      <c r="N12" s="74" t="s">
        <v>56</v>
      </c>
    </row>
    <row r="13" spans="1:14" s="72" customFormat="1" ht="22.5" customHeight="1">
      <c r="A13" s="73" t="s">
        <v>57</v>
      </c>
      <c r="B13" s="177">
        <f>_xlfn.COMPOUNDVALUE(25)</f>
        <v>512</v>
      </c>
      <c r="C13" s="178">
        <v>328876</v>
      </c>
      <c r="D13" s="177">
        <f>_xlfn.COMPOUNDVALUE(26)</f>
        <v>853</v>
      </c>
      <c r="E13" s="178">
        <v>335101</v>
      </c>
      <c r="F13" s="177">
        <f>_xlfn.COMPOUNDVALUE(27)</f>
        <v>1365</v>
      </c>
      <c r="G13" s="178">
        <v>663977</v>
      </c>
      <c r="H13" s="177">
        <f>_xlfn.COMPOUNDVALUE(28)</f>
        <v>38</v>
      </c>
      <c r="I13" s="179">
        <v>30034</v>
      </c>
      <c r="J13" s="177">
        <v>120</v>
      </c>
      <c r="K13" s="179">
        <v>11998</v>
      </c>
      <c r="L13" s="177">
        <v>1441</v>
      </c>
      <c r="M13" s="179">
        <v>645941</v>
      </c>
      <c r="N13" s="74" t="s">
        <v>58</v>
      </c>
    </row>
    <row r="14" spans="1:14" s="72" customFormat="1" ht="22.5" customHeight="1">
      <c r="A14" s="75" t="s">
        <v>59</v>
      </c>
      <c r="B14" s="180">
        <v>9053</v>
      </c>
      <c r="C14" s="181">
        <v>5448398</v>
      </c>
      <c r="D14" s="180">
        <v>12767</v>
      </c>
      <c r="E14" s="181">
        <v>5183123</v>
      </c>
      <c r="F14" s="180">
        <v>21820</v>
      </c>
      <c r="G14" s="181">
        <v>10631521</v>
      </c>
      <c r="H14" s="180">
        <v>642</v>
      </c>
      <c r="I14" s="182">
        <v>391993</v>
      </c>
      <c r="J14" s="180">
        <v>1436</v>
      </c>
      <c r="K14" s="182">
        <v>192257</v>
      </c>
      <c r="L14" s="180">
        <v>22955</v>
      </c>
      <c r="M14" s="182">
        <v>10431785</v>
      </c>
      <c r="N14" s="76" t="s">
        <v>60</v>
      </c>
    </row>
    <row r="15" spans="1:14" s="72" customFormat="1" ht="22.5" customHeight="1">
      <c r="A15" s="77"/>
      <c r="B15" s="183"/>
      <c r="C15" s="184"/>
      <c r="D15" s="183"/>
      <c r="E15" s="184"/>
      <c r="F15" s="185"/>
      <c r="G15" s="184"/>
      <c r="H15" s="185"/>
      <c r="I15" s="184"/>
      <c r="J15" s="185"/>
      <c r="K15" s="184"/>
      <c r="L15" s="185"/>
      <c r="M15" s="184"/>
      <c r="N15" s="78"/>
    </row>
    <row r="16" spans="1:14" s="72" customFormat="1" ht="22.5" customHeight="1">
      <c r="A16" s="70" t="s">
        <v>61</v>
      </c>
      <c r="B16" s="174">
        <f>_xlfn.COMPOUNDVALUE(29)</f>
        <v>1939</v>
      </c>
      <c r="C16" s="175">
        <v>1182614</v>
      </c>
      <c r="D16" s="174">
        <f>_xlfn.COMPOUNDVALUE(30)</f>
        <v>3510</v>
      </c>
      <c r="E16" s="175">
        <v>1533985</v>
      </c>
      <c r="F16" s="174">
        <f>_xlfn.COMPOUNDVALUE(31)</f>
        <v>5449</v>
      </c>
      <c r="G16" s="175">
        <v>2716598</v>
      </c>
      <c r="H16" s="174">
        <f>_xlfn.COMPOUNDVALUE(32)</f>
        <v>120</v>
      </c>
      <c r="I16" s="176">
        <v>153491</v>
      </c>
      <c r="J16" s="174">
        <v>314</v>
      </c>
      <c r="K16" s="176">
        <v>58100</v>
      </c>
      <c r="L16" s="174">
        <v>5704</v>
      </c>
      <c r="M16" s="176">
        <v>2621207</v>
      </c>
      <c r="N16" s="79" t="s">
        <v>62</v>
      </c>
    </row>
    <row r="17" spans="1:14" s="72" customFormat="1" ht="22.5" customHeight="1">
      <c r="A17" s="70" t="s">
        <v>63</v>
      </c>
      <c r="B17" s="174">
        <f>_xlfn.COMPOUNDVALUE(33)</f>
        <v>914</v>
      </c>
      <c r="C17" s="175">
        <v>589397</v>
      </c>
      <c r="D17" s="174">
        <f>_xlfn.COMPOUNDVALUE(34)</f>
        <v>1787</v>
      </c>
      <c r="E17" s="175">
        <v>714304</v>
      </c>
      <c r="F17" s="174">
        <f>_xlfn.COMPOUNDVALUE(35)</f>
        <v>2701</v>
      </c>
      <c r="G17" s="175">
        <v>1303701</v>
      </c>
      <c r="H17" s="174">
        <f>_xlfn.COMPOUNDVALUE(36)</f>
        <v>48</v>
      </c>
      <c r="I17" s="176">
        <v>19113</v>
      </c>
      <c r="J17" s="174">
        <v>192</v>
      </c>
      <c r="K17" s="176">
        <v>26565</v>
      </c>
      <c r="L17" s="174">
        <v>2801</v>
      </c>
      <c r="M17" s="176">
        <v>1311152</v>
      </c>
      <c r="N17" s="71" t="s">
        <v>64</v>
      </c>
    </row>
    <row r="18" spans="1:14" s="72" customFormat="1" ht="22.5" customHeight="1">
      <c r="A18" s="70" t="s">
        <v>65</v>
      </c>
      <c r="B18" s="174">
        <f>_xlfn.COMPOUNDVALUE(37)</f>
        <v>1821</v>
      </c>
      <c r="C18" s="175">
        <v>1293342</v>
      </c>
      <c r="D18" s="174">
        <f>_xlfn.COMPOUNDVALUE(38)</f>
        <v>3608</v>
      </c>
      <c r="E18" s="175">
        <v>1505315</v>
      </c>
      <c r="F18" s="174">
        <f>_xlfn.COMPOUNDVALUE(39)</f>
        <v>5429</v>
      </c>
      <c r="G18" s="175">
        <v>2798658</v>
      </c>
      <c r="H18" s="174">
        <f>_xlfn.COMPOUNDVALUE(40)</f>
        <v>171</v>
      </c>
      <c r="I18" s="176">
        <v>181320</v>
      </c>
      <c r="J18" s="174">
        <v>341</v>
      </c>
      <c r="K18" s="176">
        <v>36016</v>
      </c>
      <c r="L18" s="174">
        <v>5693</v>
      </c>
      <c r="M18" s="176">
        <v>2653354</v>
      </c>
      <c r="N18" s="71" t="s">
        <v>66</v>
      </c>
    </row>
    <row r="19" spans="1:14" s="72" customFormat="1" ht="22.5" customHeight="1">
      <c r="A19" s="70" t="s">
        <v>67</v>
      </c>
      <c r="B19" s="174">
        <f>_xlfn.COMPOUNDVALUE(41)</f>
        <v>1265</v>
      </c>
      <c r="C19" s="175">
        <v>745222</v>
      </c>
      <c r="D19" s="174">
        <f>_xlfn.COMPOUNDVALUE(42)</f>
        <v>1903</v>
      </c>
      <c r="E19" s="175">
        <v>736521</v>
      </c>
      <c r="F19" s="174">
        <f>_xlfn.COMPOUNDVALUE(43)</f>
        <v>3168</v>
      </c>
      <c r="G19" s="175">
        <v>1481743</v>
      </c>
      <c r="H19" s="174">
        <f>_xlfn.COMPOUNDVALUE(44)</f>
        <v>83</v>
      </c>
      <c r="I19" s="176">
        <v>60090</v>
      </c>
      <c r="J19" s="174">
        <v>175</v>
      </c>
      <c r="K19" s="176">
        <v>17558</v>
      </c>
      <c r="L19" s="174">
        <v>3307</v>
      </c>
      <c r="M19" s="176">
        <v>1439211</v>
      </c>
      <c r="N19" s="71" t="s">
        <v>68</v>
      </c>
    </row>
    <row r="20" spans="1:14" s="72" customFormat="1" ht="22.5" customHeight="1">
      <c r="A20" s="70" t="s">
        <v>69</v>
      </c>
      <c r="B20" s="174">
        <f>_xlfn.COMPOUNDVALUE(45)</f>
        <v>1363</v>
      </c>
      <c r="C20" s="175">
        <v>956872</v>
      </c>
      <c r="D20" s="174">
        <f>_xlfn.COMPOUNDVALUE(46)</f>
        <v>2454</v>
      </c>
      <c r="E20" s="175">
        <v>1044137</v>
      </c>
      <c r="F20" s="174">
        <f>_xlfn.COMPOUNDVALUE(47)</f>
        <v>3817</v>
      </c>
      <c r="G20" s="175">
        <v>2001008</v>
      </c>
      <c r="H20" s="174">
        <f>_xlfn.COMPOUNDVALUE(48)</f>
        <v>73</v>
      </c>
      <c r="I20" s="176">
        <v>49004</v>
      </c>
      <c r="J20" s="174">
        <v>317</v>
      </c>
      <c r="K20" s="176">
        <v>30959</v>
      </c>
      <c r="L20" s="174">
        <v>3971</v>
      </c>
      <c r="M20" s="176">
        <v>1982963</v>
      </c>
      <c r="N20" s="71" t="s">
        <v>70</v>
      </c>
    </row>
    <row r="21" spans="1:14" s="72" customFormat="1" ht="22.5" customHeight="1">
      <c r="A21" s="70" t="s">
        <v>71</v>
      </c>
      <c r="B21" s="174">
        <f>_xlfn.COMPOUNDVALUE(49)</f>
        <v>461</v>
      </c>
      <c r="C21" s="175">
        <v>270439</v>
      </c>
      <c r="D21" s="174">
        <f>_xlfn.COMPOUNDVALUE(50)</f>
        <v>853</v>
      </c>
      <c r="E21" s="175">
        <v>351729</v>
      </c>
      <c r="F21" s="174">
        <f>_xlfn.COMPOUNDVALUE(51)</f>
        <v>1314</v>
      </c>
      <c r="G21" s="175">
        <v>622168</v>
      </c>
      <c r="H21" s="174">
        <f>_xlfn.COMPOUNDVALUE(52)</f>
        <v>25</v>
      </c>
      <c r="I21" s="176">
        <v>30325</v>
      </c>
      <c r="J21" s="174">
        <v>139</v>
      </c>
      <c r="K21" s="176">
        <v>14334</v>
      </c>
      <c r="L21" s="174">
        <v>1354</v>
      </c>
      <c r="M21" s="176">
        <v>606176</v>
      </c>
      <c r="N21" s="71" t="s">
        <v>72</v>
      </c>
    </row>
    <row r="22" spans="1:14" s="72" customFormat="1" ht="22.5" customHeight="1">
      <c r="A22" s="73" t="s">
        <v>73</v>
      </c>
      <c r="B22" s="177">
        <f>_xlfn.COMPOUNDVALUE(53)</f>
        <v>742</v>
      </c>
      <c r="C22" s="178">
        <v>481216</v>
      </c>
      <c r="D22" s="177">
        <f>_xlfn.COMPOUNDVALUE(54)</f>
        <v>1717</v>
      </c>
      <c r="E22" s="178">
        <v>665650</v>
      </c>
      <c r="F22" s="177">
        <f>_xlfn.COMPOUNDVALUE(55)</f>
        <v>2459</v>
      </c>
      <c r="G22" s="178">
        <v>1146866</v>
      </c>
      <c r="H22" s="177">
        <f>_xlfn.COMPOUNDVALUE(56)</f>
        <v>36</v>
      </c>
      <c r="I22" s="179">
        <v>32633</v>
      </c>
      <c r="J22" s="177">
        <v>128</v>
      </c>
      <c r="K22" s="179">
        <v>8360</v>
      </c>
      <c r="L22" s="177">
        <v>2523</v>
      </c>
      <c r="M22" s="179">
        <v>1122593</v>
      </c>
      <c r="N22" s="74" t="s">
        <v>74</v>
      </c>
    </row>
    <row r="23" spans="1:14" s="72" customFormat="1" ht="22.5" customHeight="1">
      <c r="A23" s="73" t="s">
        <v>75</v>
      </c>
      <c r="B23" s="177">
        <f>_xlfn.COMPOUNDVALUE(57)</f>
        <v>808</v>
      </c>
      <c r="C23" s="178">
        <v>515191</v>
      </c>
      <c r="D23" s="177">
        <f>_xlfn.COMPOUNDVALUE(58)</f>
        <v>1689</v>
      </c>
      <c r="E23" s="178">
        <v>618068</v>
      </c>
      <c r="F23" s="177">
        <f>_xlfn.COMPOUNDVALUE(59)</f>
        <v>2497</v>
      </c>
      <c r="G23" s="178">
        <v>1133260</v>
      </c>
      <c r="H23" s="177">
        <f>_xlfn.COMPOUNDVALUE(60)</f>
        <v>46</v>
      </c>
      <c r="I23" s="179">
        <v>23317</v>
      </c>
      <c r="J23" s="177">
        <v>118</v>
      </c>
      <c r="K23" s="179">
        <v>14637</v>
      </c>
      <c r="L23" s="177">
        <v>2577</v>
      </c>
      <c r="M23" s="179">
        <v>1124580</v>
      </c>
      <c r="N23" s="74" t="s">
        <v>76</v>
      </c>
    </row>
    <row r="24" spans="1:14" s="72" customFormat="1" ht="22.5" customHeight="1">
      <c r="A24" s="73" t="s">
        <v>77</v>
      </c>
      <c r="B24" s="177">
        <f>_xlfn.COMPOUNDVALUE(61)</f>
        <v>1546</v>
      </c>
      <c r="C24" s="178">
        <v>1055457</v>
      </c>
      <c r="D24" s="177">
        <f>_xlfn.COMPOUNDVALUE(62)</f>
        <v>2777</v>
      </c>
      <c r="E24" s="178">
        <v>1180916</v>
      </c>
      <c r="F24" s="177">
        <f>_xlfn.COMPOUNDVALUE(63)</f>
        <v>4323</v>
      </c>
      <c r="G24" s="178">
        <v>2236373</v>
      </c>
      <c r="H24" s="177">
        <f>_xlfn.COMPOUNDVALUE(64)</f>
        <v>77</v>
      </c>
      <c r="I24" s="179">
        <v>45706</v>
      </c>
      <c r="J24" s="177">
        <v>293</v>
      </c>
      <c r="K24" s="179">
        <v>52268</v>
      </c>
      <c r="L24" s="177">
        <v>4521</v>
      </c>
      <c r="M24" s="179">
        <v>2242935</v>
      </c>
      <c r="N24" s="74" t="s">
        <v>78</v>
      </c>
    </row>
    <row r="25" spans="1:14" s="72" customFormat="1" ht="23.25" customHeight="1">
      <c r="A25" s="73" t="s">
        <v>79</v>
      </c>
      <c r="B25" s="177">
        <f>_xlfn.COMPOUNDVALUE(65)</f>
        <v>918</v>
      </c>
      <c r="C25" s="178">
        <v>561036</v>
      </c>
      <c r="D25" s="177">
        <f>_xlfn.COMPOUNDVALUE(66)</f>
        <v>1775</v>
      </c>
      <c r="E25" s="178">
        <v>683302</v>
      </c>
      <c r="F25" s="177">
        <f>_xlfn.COMPOUNDVALUE(67)</f>
        <v>2693</v>
      </c>
      <c r="G25" s="178">
        <v>1244338</v>
      </c>
      <c r="H25" s="177">
        <f>_xlfn.COMPOUNDVALUE(68)</f>
        <v>74</v>
      </c>
      <c r="I25" s="179">
        <v>48411</v>
      </c>
      <c r="J25" s="177">
        <v>158</v>
      </c>
      <c r="K25" s="179">
        <v>19271</v>
      </c>
      <c r="L25" s="177">
        <v>2806</v>
      </c>
      <c r="M25" s="179">
        <v>1215198</v>
      </c>
      <c r="N25" s="74" t="s">
        <v>80</v>
      </c>
    </row>
    <row r="26" spans="1:14" s="72" customFormat="1" ht="22.5" customHeight="1">
      <c r="A26" s="73" t="s">
        <v>81</v>
      </c>
      <c r="B26" s="177">
        <f>_xlfn.COMPOUNDVALUE(69)</f>
        <v>783</v>
      </c>
      <c r="C26" s="178">
        <v>555006</v>
      </c>
      <c r="D26" s="177">
        <f>_xlfn.COMPOUNDVALUE(70)</f>
        <v>1589</v>
      </c>
      <c r="E26" s="178">
        <v>611877</v>
      </c>
      <c r="F26" s="177">
        <f>_xlfn.COMPOUNDVALUE(71)</f>
        <v>2372</v>
      </c>
      <c r="G26" s="178">
        <v>1166883</v>
      </c>
      <c r="H26" s="177">
        <f>_xlfn.COMPOUNDVALUE(72)</f>
        <v>67</v>
      </c>
      <c r="I26" s="179">
        <v>42402</v>
      </c>
      <c r="J26" s="177">
        <v>155</v>
      </c>
      <c r="K26" s="179">
        <v>8910</v>
      </c>
      <c r="L26" s="177">
        <v>2468</v>
      </c>
      <c r="M26" s="179">
        <v>1133390</v>
      </c>
      <c r="N26" s="74" t="s">
        <v>82</v>
      </c>
    </row>
    <row r="27" spans="1:14" s="72" customFormat="1" ht="22.5" customHeight="1">
      <c r="A27" s="73" t="s">
        <v>83</v>
      </c>
      <c r="B27" s="177">
        <f>_xlfn.COMPOUNDVALUE(73)</f>
        <v>1037</v>
      </c>
      <c r="C27" s="178">
        <v>669791</v>
      </c>
      <c r="D27" s="177">
        <f>_xlfn.COMPOUNDVALUE(74)</f>
        <v>1863</v>
      </c>
      <c r="E27" s="178">
        <v>749866</v>
      </c>
      <c r="F27" s="177">
        <f>_xlfn.COMPOUNDVALUE(75)</f>
        <v>2900</v>
      </c>
      <c r="G27" s="178">
        <v>1419657</v>
      </c>
      <c r="H27" s="177">
        <f>_xlfn.COMPOUNDVALUE(76)</f>
        <v>60</v>
      </c>
      <c r="I27" s="179">
        <v>35143</v>
      </c>
      <c r="J27" s="177">
        <v>157</v>
      </c>
      <c r="K27" s="179">
        <v>12571</v>
      </c>
      <c r="L27" s="177">
        <v>3000</v>
      </c>
      <c r="M27" s="179">
        <v>1397085</v>
      </c>
      <c r="N27" s="74" t="s">
        <v>84</v>
      </c>
    </row>
    <row r="28" spans="1:14" s="72" customFormat="1" ht="22.5" customHeight="1">
      <c r="A28" s="73" t="s">
        <v>85</v>
      </c>
      <c r="B28" s="177">
        <f>_xlfn.COMPOUNDVALUE(77)</f>
        <v>337</v>
      </c>
      <c r="C28" s="178">
        <v>200977</v>
      </c>
      <c r="D28" s="177">
        <f>_xlfn.COMPOUNDVALUE(78)</f>
        <v>636</v>
      </c>
      <c r="E28" s="178">
        <v>235197</v>
      </c>
      <c r="F28" s="177">
        <f>_xlfn.COMPOUNDVALUE(79)</f>
        <v>973</v>
      </c>
      <c r="G28" s="178">
        <v>436174</v>
      </c>
      <c r="H28" s="177">
        <f>_xlfn.COMPOUNDVALUE(80)</f>
        <v>18</v>
      </c>
      <c r="I28" s="179">
        <v>5861</v>
      </c>
      <c r="J28" s="177">
        <v>87</v>
      </c>
      <c r="K28" s="179">
        <v>7913</v>
      </c>
      <c r="L28" s="177">
        <v>1011</v>
      </c>
      <c r="M28" s="179">
        <v>438225</v>
      </c>
      <c r="N28" s="74" t="s">
        <v>86</v>
      </c>
    </row>
    <row r="29" spans="1:14" s="72" customFormat="1" ht="22.5" customHeight="1">
      <c r="A29" s="75" t="s">
        <v>87</v>
      </c>
      <c r="B29" s="180">
        <v>13934</v>
      </c>
      <c r="C29" s="181">
        <v>9076559</v>
      </c>
      <c r="D29" s="180">
        <v>26161</v>
      </c>
      <c r="E29" s="181">
        <v>10630867</v>
      </c>
      <c r="F29" s="180">
        <v>40095</v>
      </c>
      <c r="G29" s="181">
        <v>19707425</v>
      </c>
      <c r="H29" s="180">
        <v>898</v>
      </c>
      <c r="I29" s="182">
        <v>726816</v>
      </c>
      <c r="J29" s="180">
        <v>2574</v>
      </c>
      <c r="K29" s="182">
        <v>307460</v>
      </c>
      <c r="L29" s="180">
        <v>41736</v>
      </c>
      <c r="M29" s="182">
        <v>19288069</v>
      </c>
      <c r="N29" s="76" t="s">
        <v>88</v>
      </c>
    </row>
    <row r="30" spans="1:14" s="72" customFormat="1" ht="22.5" customHeight="1">
      <c r="A30" s="77"/>
      <c r="B30" s="183"/>
      <c r="C30" s="184"/>
      <c r="D30" s="183"/>
      <c r="E30" s="184"/>
      <c r="F30" s="185"/>
      <c r="G30" s="184"/>
      <c r="H30" s="185"/>
      <c r="I30" s="184"/>
      <c r="J30" s="185"/>
      <c r="K30" s="184"/>
      <c r="L30" s="185"/>
      <c r="M30" s="184"/>
      <c r="N30" s="78"/>
    </row>
    <row r="31" spans="1:14" s="72" customFormat="1" ht="22.5" customHeight="1">
      <c r="A31" s="70" t="s">
        <v>89</v>
      </c>
      <c r="B31" s="174">
        <f>_xlfn.COMPOUNDVALUE(81)</f>
        <v>1253</v>
      </c>
      <c r="C31" s="175">
        <v>1124372</v>
      </c>
      <c r="D31" s="174">
        <f>_xlfn.COMPOUNDVALUE(82)</f>
        <v>1740</v>
      </c>
      <c r="E31" s="175">
        <v>924333</v>
      </c>
      <c r="F31" s="174">
        <f>_xlfn.COMPOUNDVALUE(83)</f>
        <v>2993</v>
      </c>
      <c r="G31" s="175">
        <v>2048705</v>
      </c>
      <c r="H31" s="174">
        <f>_xlfn.COMPOUNDVALUE(84)</f>
        <v>125</v>
      </c>
      <c r="I31" s="176">
        <v>147073</v>
      </c>
      <c r="J31" s="174">
        <v>185</v>
      </c>
      <c r="K31" s="176">
        <v>56039</v>
      </c>
      <c r="L31" s="174">
        <v>3199</v>
      </c>
      <c r="M31" s="176">
        <v>1957671</v>
      </c>
      <c r="N31" s="79" t="s">
        <v>90</v>
      </c>
    </row>
    <row r="32" spans="1:14" s="72" customFormat="1" ht="22.5" customHeight="1">
      <c r="A32" s="70" t="s">
        <v>91</v>
      </c>
      <c r="B32" s="174">
        <f>_xlfn.COMPOUNDVALUE(85)</f>
        <v>461</v>
      </c>
      <c r="C32" s="175">
        <v>392927</v>
      </c>
      <c r="D32" s="174">
        <f>_xlfn.COMPOUNDVALUE(86)</f>
        <v>514</v>
      </c>
      <c r="E32" s="175">
        <v>302223</v>
      </c>
      <c r="F32" s="174">
        <f>_xlfn.COMPOUNDVALUE(87)</f>
        <v>975</v>
      </c>
      <c r="G32" s="175">
        <v>695149</v>
      </c>
      <c r="H32" s="174">
        <f>_xlfn.COMPOUNDVALUE(88)</f>
        <v>59</v>
      </c>
      <c r="I32" s="176">
        <v>28261</v>
      </c>
      <c r="J32" s="174">
        <v>103</v>
      </c>
      <c r="K32" s="176">
        <v>26558</v>
      </c>
      <c r="L32" s="174">
        <v>1065</v>
      </c>
      <c r="M32" s="176">
        <v>693446</v>
      </c>
      <c r="N32" s="71" t="s">
        <v>92</v>
      </c>
    </row>
    <row r="33" spans="1:14" s="72" customFormat="1" ht="22.5" customHeight="1">
      <c r="A33" s="70" t="s">
        <v>93</v>
      </c>
      <c r="B33" s="174">
        <f>_xlfn.COMPOUNDVALUE(89)</f>
        <v>1225</v>
      </c>
      <c r="C33" s="175">
        <v>764009</v>
      </c>
      <c r="D33" s="174">
        <f>_xlfn.COMPOUNDVALUE(90)</f>
        <v>1563</v>
      </c>
      <c r="E33" s="175">
        <v>667750</v>
      </c>
      <c r="F33" s="174">
        <f>_xlfn.COMPOUNDVALUE(91)</f>
        <v>2788</v>
      </c>
      <c r="G33" s="175">
        <v>1431759</v>
      </c>
      <c r="H33" s="174">
        <f>_xlfn.COMPOUNDVALUE(92)</f>
        <v>97</v>
      </c>
      <c r="I33" s="176">
        <v>78516</v>
      </c>
      <c r="J33" s="174">
        <v>280</v>
      </c>
      <c r="K33" s="176">
        <v>44980</v>
      </c>
      <c r="L33" s="174">
        <v>2995</v>
      </c>
      <c r="M33" s="176">
        <v>1398223</v>
      </c>
      <c r="N33" s="71" t="s">
        <v>94</v>
      </c>
    </row>
    <row r="34" spans="1:14" s="72" customFormat="1" ht="22.5" customHeight="1">
      <c r="A34" s="70" t="s">
        <v>95</v>
      </c>
      <c r="B34" s="174">
        <f>_xlfn.COMPOUNDVALUE(93)</f>
        <v>1276</v>
      </c>
      <c r="C34" s="175">
        <v>685650</v>
      </c>
      <c r="D34" s="174">
        <f>_xlfn.COMPOUNDVALUE(94)</f>
        <v>1606</v>
      </c>
      <c r="E34" s="175">
        <v>708700</v>
      </c>
      <c r="F34" s="174">
        <f>_xlfn.COMPOUNDVALUE(95)</f>
        <v>2882</v>
      </c>
      <c r="G34" s="175">
        <v>1394350</v>
      </c>
      <c r="H34" s="174">
        <f>_xlfn.COMPOUNDVALUE(96)</f>
        <v>89</v>
      </c>
      <c r="I34" s="176">
        <v>60229</v>
      </c>
      <c r="J34" s="174">
        <v>217</v>
      </c>
      <c r="K34" s="176">
        <v>37767</v>
      </c>
      <c r="L34" s="174">
        <v>3073</v>
      </c>
      <c r="M34" s="176">
        <v>1371888</v>
      </c>
      <c r="N34" s="71" t="s">
        <v>96</v>
      </c>
    </row>
    <row r="35" spans="1:14" s="72" customFormat="1" ht="22.5" customHeight="1">
      <c r="A35" s="70" t="s">
        <v>97</v>
      </c>
      <c r="B35" s="174">
        <f>_xlfn.COMPOUNDVALUE(97)</f>
        <v>644</v>
      </c>
      <c r="C35" s="175">
        <v>374935</v>
      </c>
      <c r="D35" s="174">
        <f>_xlfn.COMPOUNDVALUE(98)</f>
        <v>813</v>
      </c>
      <c r="E35" s="175">
        <v>370745</v>
      </c>
      <c r="F35" s="174">
        <f>_xlfn.COMPOUNDVALUE(99)</f>
        <v>1457</v>
      </c>
      <c r="G35" s="175">
        <v>745679</v>
      </c>
      <c r="H35" s="174">
        <f>_xlfn.COMPOUNDVALUE(100)</f>
        <v>52</v>
      </c>
      <c r="I35" s="176">
        <v>236655</v>
      </c>
      <c r="J35" s="174">
        <v>135</v>
      </c>
      <c r="K35" s="176">
        <v>22000</v>
      </c>
      <c r="L35" s="174">
        <v>1561</v>
      </c>
      <c r="M35" s="176">
        <v>531024</v>
      </c>
      <c r="N35" s="71" t="s">
        <v>98</v>
      </c>
    </row>
    <row r="36" spans="1:14" s="72" customFormat="1" ht="22.5" customHeight="1">
      <c r="A36" s="70" t="s">
        <v>99</v>
      </c>
      <c r="B36" s="174">
        <f>_xlfn.COMPOUNDVALUE(101)</f>
        <v>1008</v>
      </c>
      <c r="C36" s="175">
        <v>1054700</v>
      </c>
      <c r="D36" s="174">
        <f>_xlfn.COMPOUNDVALUE(102)</f>
        <v>976</v>
      </c>
      <c r="E36" s="175">
        <v>592474</v>
      </c>
      <c r="F36" s="174">
        <f>_xlfn.COMPOUNDVALUE(103)</f>
        <v>1984</v>
      </c>
      <c r="G36" s="175">
        <v>1647174</v>
      </c>
      <c r="H36" s="174">
        <f>_xlfn.COMPOUNDVALUE(104)</f>
        <v>70</v>
      </c>
      <c r="I36" s="176">
        <v>78701</v>
      </c>
      <c r="J36" s="174">
        <v>153</v>
      </c>
      <c r="K36" s="176">
        <v>24580</v>
      </c>
      <c r="L36" s="174">
        <v>2105</v>
      </c>
      <c r="M36" s="176">
        <v>1593053</v>
      </c>
      <c r="N36" s="71" t="s">
        <v>100</v>
      </c>
    </row>
    <row r="37" spans="1:14" s="72" customFormat="1" ht="22.5" customHeight="1">
      <c r="A37" s="70" t="s">
        <v>101</v>
      </c>
      <c r="B37" s="174">
        <f>_xlfn.COMPOUNDVALUE(105)</f>
        <v>1963</v>
      </c>
      <c r="C37" s="175">
        <v>1455763</v>
      </c>
      <c r="D37" s="174">
        <f>_xlfn.COMPOUNDVALUE(106)</f>
        <v>2815</v>
      </c>
      <c r="E37" s="175">
        <v>1389266</v>
      </c>
      <c r="F37" s="174">
        <f>_xlfn.COMPOUNDVALUE(107)</f>
        <v>4778</v>
      </c>
      <c r="G37" s="175">
        <v>2845029</v>
      </c>
      <c r="H37" s="174">
        <f>_xlfn.COMPOUNDVALUE(108)</f>
        <v>153</v>
      </c>
      <c r="I37" s="176">
        <v>99394</v>
      </c>
      <c r="J37" s="174">
        <v>382</v>
      </c>
      <c r="K37" s="176">
        <v>43193</v>
      </c>
      <c r="L37" s="174">
        <v>5038</v>
      </c>
      <c r="M37" s="176">
        <v>2788828</v>
      </c>
      <c r="N37" s="71" t="s">
        <v>102</v>
      </c>
    </row>
    <row r="38" spans="1:14" s="72" customFormat="1" ht="22.5" customHeight="1">
      <c r="A38" s="70" t="s">
        <v>103</v>
      </c>
      <c r="B38" s="174">
        <f>_xlfn.COMPOUNDVALUE(109)</f>
        <v>1658</v>
      </c>
      <c r="C38" s="175">
        <v>1164494</v>
      </c>
      <c r="D38" s="174">
        <f>_xlfn.COMPOUNDVALUE(110)</f>
        <v>2269</v>
      </c>
      <c r="E38" s="175">
        <v>1034112</v>
      </c>
      <c r="F38" s="174">
        <f>_xlfn.COMPOUNDVALUE(111)</f>
        <v>3927</v>
      </c>
      <c r="G38" s="175">
        <v>2198606</v>
      </c>
      <c r="H38" s="174">
        <f>_xlfn.COMPOUNDVALUE(112)</f>
        <v>118</v>
      </c>
      <c r="I38" s="176">
        <v>102362</v>
      </c>
      <c r="J38" s="174">
        <v>328</v>
      </c>
      <c r="K38" s="176">
        <v>50194</v>
      </c>
      <c r="L38" s="174">
        <v>4170</v>
      </c>
      <c r="M38" s="176">
        <v>2146439</v>
      </c>
      <c r="N38" s="71" t="s">
        <v>104</v>
      </c>
    </row>
    <row r="39" spans="1:14" s="72" customFormat="1" ht="22.5" customHeight="1">
      <c r="A39" s="70" t="s">
        <v>105</v>
      </c>
      <c r="B39" s="174">
        <f>_xlfn.COMPOUNDVALUE(113)</f>
        <v>1324</v>
      </c>
      <c r="C39" s="175">
        <v>753110</v>
      </c>
      <c r="D39" s="174">
        <f>_xlfn.COMPOUNDVALUE(114)</f>
        <v>1807</v>
      </c>
      <c r="E39" s="175">
        <v>763792</v>
      </c>
      <c r="F39" s="174">
        <f>_xlfn.COMPOUNDVALUE(115)</f>
        <v>3131</v>
      </c>
      <c r="G39" s="175">
        <v>1516902</v>
      </c>
      <c r="H39" s="174">
        <f>_xlfn.COMPOUNDVALUE(116)</f>
        <v>134</v>
      </c>
      <c r="I39" s="176">
        <v>102040</v>
      </c>
      <c r="J39" s="174">
        <v>205</v>
      </c>
      <c r="K39" s="176">
        <v>39716</v>
      </c>
      <c r="L39" s="174">
        <v>3344</v>
      </c>
      <c r="M39" s="176">
        <v>1454578</v>
      </c>
      <c r="N39" s="71" t="s">
        <v>106</v>
      </c>
    </row>
    <row r="40" spans="1:14" s="72" customFormat="1" ht="22.5" customHeight="1">
      <c r="A40" s="70" t="s">
        <v>107</v>
      </c>
      <c r="B40" s="174">
        <f>_xlfn.COMPOUNDVALUE(117)</f>
        <v>3038</v>
      </c>
      <c r="C40" s="175">
        <v>2343517</v>
      </c>
      <c r="D40" s="174">
        <f>_xlfn.COMPOUNDVALUE(118)</f>
        <v>7053</v>
      </c>
      <c r="E40" s="175">
        <v>2923538</v>
      </c>
      <c r="F40" s="174">
        <f>_xlfn.COMPOUNDVALUE(119)</f>
        <v>10091</v>
      </c>
      <c r="G40" s="175">
        <v>5267055</v>
      </c>
      <c r="H40" s="174">
        <f>_xlfn.COMPOUNDVALUE(120)</f>
        <v>233</v>
      </c>
      <c r="I40" s="176">
        <v>231661</v>
      </c>
      <c r="J40" s="174">
        <v>542</v>
      </c>
      <c r="K40" s="176">
        <v>74197</v>
      </c>
      <c r="L40" s="174">
        <v>10447</v>
      </c>
      <c r="M40" s="176">
        <v>5109590</v>
      </c>
      <c r="N40" s="71" t="s">
        <v>108</v>
      </c>
    </row>
    <row r="41" spans="1:14" s="72" customFormat="1" ht="22.5" customHeight="1">
      <c r="A41" s="70" t="s">
        <v>109</v>
      </c>
      <c r="B41" s="174">
        <f>_xlfn.COMPOUNDVALUE(121)</f>
        <v>1444</v>
      </c>
      <c r="C41" s="175">
        <v>1005840</v>
      </c>
      <c r="D41" s="174">
        <f>_xlfn.COMPOUNDVALUE(122)</f>
        <v>2169</v>
      </c>
      <c r="E41" s="175">
        <v>928841</v>
      </c>
      <c r="F41" s="174">
        <f>_xlfn.COMPOUNDVALUE(123)</f>
        <v>3613</v>
      </c>
      <c r="G41" s="175">
        <v>1934681</v>
      </c>
      <c r="H41" s="174">
        <f>_xlfn.COMPOUNDVALUE(124)</f>
        <v>98</v>
      </c>
      <c r="I41" s="176">
        <v>87723</v>
      </c>
      <c r="J41" s="174">
        <v>288</v>
      </c>
      <c r="K41" s="176">
        <v>34172</v>
      </c>
      <c r="L41" s="174">
        <v>3777</v>
      </c>
      <c r="M41" s="176">
        <v>1881131</v>
      </c>
      <c r="N41" s="71" t="s">
        <v>110</v>
      </c>
    </row>
    <row r="42" spans="1:14" s="72" customFormat="1" ht="22.5" customHeight="1">
      <c r="A42" s="70" t="s">
        <v>111</v>
      </c>
      <c r="B42" s="174">
        <f>_xlfn.COMPOUNDVALUE(125)</f>
        <v>1783</v>
      </c>
      <c r="C42" s="175">
        <v>1047823</v>
      </c>
      <c r="D42" s="174">
        <f>_xlfn.COMPOUNDVALUE(126)</f>
        <v>2635</v>
      </c>
      <c r="E42" s="175">
        <v>1078286</v>
      </c>
      <c r="F42" s="174">
        <f>_xlfn.COMPOUNDVALUE(127)</f>
        <v>4418</v>
      </c>
      <c r="G42" s="175">
        <v>2126109</v>
      </c>
      <c r="H42" s="174">
        <f>_xlfn.COMPOUNDVALUE(128)</f>
        <v>142</v>
      </c>
      <c r="I42" s="176">
        <v>88659</v>
      </c>
      <c r="J42" s="174">
        <v>327</v>
      </c>
      <c r="K42" s="176">
        <v>58726</v>
      </c>
      <c r="L42" s="174">
        <v>4708</v>
      </c>
      <c r="M42" s="176">
        <v>2096176</v>
      </c>
      <c r="N42" s="71" t="s">
        <v>112</v>
      </c>
    </row>
    <row r="43" spans="1:14" s="72" customFormat="1" ht="22.5" customHeight="1">
      <c r="A43" s="70" t="s">
        <v>113</v>
      </c>
      <c r="B43" s="174">
        <f>_xlfn.COMPOUNDVALUE(129)</f>
        <v>742</v>
      </c>
      <c r="C43" s="175">
        <v>419644</v>
      </c>
      <c r="D43" s="174">
        <f>_xlfn.COMPOUNDVALUE(130)</f>
        <v>1072</v>
      </c>
      <c r="E43" s="175">
        <v>434277</v>
      </c>
      <c r="F43" s="174">
        <f>_xlfn.COMPOUNDVALUE(131)</f>
        <v>1814</v>
      </c>
      <c r="G43" s="175">
        <v>853921</v>
      </c>
      <c r="H43" s="174">
        <f>_xlfn.COMPOUNDVALUE(132)</f>
        <v>44</v>
      </c>
      <c r="I43" s="176">
        <v>45186</v>
      </c>
      <c r="J43" s="174">
        <v>128</v>
      </c>
      <c r="K43" s="176">
        <v>28796</v>
      </c>
      <c r="L43" s="174">
        <v>1922</v>
      </c>
      <c r="M43" s="176">
        <v>837531</v>
      </c>
      <c r="N43" s="71" t="s">
        <v>114</v>
      </c>
    </row>
    <row r="44" spans="1:14" s="72" customFormat="1" ht="22.5" customHeight="1">
      <c r="A44" s="73" t="s">
        <v>115</v>
      </c>
      <c r="B44" s="177">
        <f>_xlfn.COMPOUNDVALUE(133)</f>
        <v>2371</v>
      </c>
      <c r="C44" s="178">
        <v>1775858</v>
      </c>
      <c r="D44" s="177">
        <f>_xlfn.COMPOUNDVALUE(134)</f>
        <v>3560</v>
      </c>
      <c r="E44" s="178">
        <v>1488050</v>
      </c>
      <c r="F44" s="177">
        <f>_xlfn.COMPOUNDVALUE(135)</f>
        <v>5931</v>
      </c>
      <c r="G44" s="178">
        <v>3263908</v>
      </c>
      <c r="H44" s="177">
        <f>_xlfn.COMPOUNDVALUE(136)</f>
        <v>142</v>
      </c>
      <c r="I44" s="179">
        <v>81739</v>
      </c>
      <c r="J44" s="177">
        <v>367</v>
      </c>
      <c r="K44" s="179">
        <v>48922</v>
      </c>
      <c r="L44" s="177">
        <v>6208</v>
      </c>
      <c r="M44" s="179">
        <v>3231091</v>
      </c>
      <c r="N44" s="74" t="s">
        <v>116</v>
      </c>
    </row>
    <row r="45" spans="1:14" s="72" customFormat="1" ht="22.5" customHeight="1">
      <c r="A45" s="73" t="s">
        <v>117</v>
      </c>
      <c r="B45" s="177">
        <f>_xlfn.COMPOUNDVALUE(137)</f>
        <v>1404</v>
      </c>
      <c r="C45" s="178">
        <v>843882</v>
      </c>
      <c r="D45" s="177">
        <f>_xlfn.COMPOUNDVALUE(138)</f>
        <v>2107</v>
      </c>
      <c r="E45" s="178">
        <v>854301</v>
      </c>
      <c r="F45" s="177">
        <f>_xlfn.COMPOUNDVALUE(139)</f>
        <v>3511</v>
      </c>
      <c r="G45" s="178">
        <v>1698183</v>
      </c>
      <c r="H45" s="177">
        <f>_xlfn.COMPOUNDVALUE(140)</f>
        <v>89</v>
      </c>
      <c r="I45" s="179">
        <v>80593</v>
      </c>
      <c r="J45" s="177">
        <v>307</v>
      </c>
      <c r="K45" s="179">
        <v>44098</v>
      </c>
      <c r="L45" s="177">
        <v>3740</v>
      </c>
      <c r="M45" s="179">
        <v>1661688</v>
      </c>
      <c r="N45" s="74" t="s">
        <v>118</v>
      </c>
    </row>
    <row r="46" spans="1:14" s="72" customFormat="1" ht="22.5" customHeight="1">
      <c r="A46" s="73" t="s">
        <v>119</v>
      </c>
      <c r="B46" s="177">
        <f>_xlfn.COMPOUNDVALUE(141)</f>
        <v>1784</v>
      </c>
      <c r="C46" s="178">
        <v>1327863</v>
      </c>
      <c r="D46" s="177">
        <f>_xlfn.COMPOUNDVALUE(142)</f>
        <v>2803</v>
      </c>
      <c r="E46" s="178">
        <v>1190196</v>
      </c>
      <c r="F46" s="177">
        <f>_xlfn.COMPOUNDVALUE(143)</f>
        <v>4587</v>
      </c>
      <c r="G46" s="178">
        <v>2518058</v>
      </c>
      <c r="H46" s="177">
        <f>_xlfn.COMPOUNDVALUE(144)</f>
        <v>114</v>
      </c>
      <c r="I46" s="179">
        <v>105110</v>
      </c>
      <c r="J46" s="177">
        <v>279</v>
      </c>
      <c r="K46" s="179">
        <v>49565</v>
      </c>
      <c r="L46" s="177">
        <v>4807</v>
      </c>
      <c r="M46" s="179">
        <v>2462513</v>
      </c>
      <c r="N46" s="74" t="s">
        <v>120</v>
      </c>
    </row>
    <row r="47" spans="1:14" s="72" customFormat="1" ht="22.5" customHeight="1">
      <c r="A47" s="73" t="s">
        <v>121</v>
      </c>
      <c r="B47" s="177">
        <f>_xlfn.COMPOUNDVALUE(145)</f>
        <v>1350</v>
      </c>
      <c r="C47" s="178">
        <v>851449</v>
      </c>
      <c r="D47" s="177">
        <f>_xlfn.COMPOUNDVALUE(146)</f>
        <v>1832</v>
      </c>
      <c r="E47" s="178">
        <v>794451</v>
      </c>
      <c r="F47" s="177">
        <f>_xlfn.COMPOUNDVALUE(147)</f>
        <v>3182</v>
      </c>
      <c r="G47" s="178">
        <v>1645901</v>
      </c>
      <c r="H47" s="177">
        <f>_xlfn.COMPOUNDVALUE(148)</f>
        <v>86</v>
      </c>
      <c r="I47" s="179">
        <v>76367</v>
      </c>
      <c r="J47" s="177">
        <v>233</v>
      </c>
      <c r="K47" s="179">
        <v>25243</v>
      </c>
      <c r="L47" s="177">
        <v>3324</v>
      </c>
      <c r="M47" s="179">
        <v>1594777</v>
      </c>
      <c r="N47" s="74" t="s">
        <v>122</v>
      </c>
    </row>
    <row r="48" spans="1:14" s="72" customFormat="1" ht="22.5" customHeight="1">
      <c r="A48" s="73" t="s">
        <v>123</v>
      </c>
      <c r="B48" s="177">
        <f>_xlfn.COMPOUNDVALUE(149)</f>
        <v>881</v>
      </c>
      <c r="C48" s="178">
        <v>803450</v>
      </c>
      <c r="D48" s="177">
        <f>_xlfn.COMPOUNDVALUE(150)</f>
        <v>1645</v>
      </c>
      <c r="E48" s="178">
        <v>647345</v>
      </c>
      <c r="F48" s="177">
        <f>_xlfn.COMPOUNDVALUE(151)</f>
        <v>2526</v>
      </c>
      <c r="G48" s="178">
        <v>1450794</v>
      </c>
      <c r="H48" s="177">
        <f>_xlfn.COMPOUNDVALUE(152)</f>
        <v>74</v>
      </c>
      <c r="I48" s="179">
        <v>62021</v>
      </c>
      <c r="J48" s="177">
        <v>128</v>
      </c>
      <c r="K48" s="179">
        <v>27162</v>
      </c>
      <c r="L48" s="177">
        <v>2647</v>
      </c>
      <c r="M48" s="179">
        <v>1415935</v>
      </c>
      <c r="N48" s="74" t="s">
        <v>124</v>
      </c>
    </row>
    <row r="49" spans="1:14" s="72" customFormat="1" ht="22.5" customHeight="1">
      <c r="A49" s="73" t="s">
        <v>125</v>
      </c>
      <c r="B49" s="177">
        <f>_xlfn.COMPOUNDVALUE(153)</f>
        <v>2140</v>
      </c>
      <c r="C49" s="178">
        <v>1216807</v>
      </c>
      <c r="D49" s="177">
        <f>_xlfn.COMPOUNDVALUE(154)</f>
        <v>3073</v>
      </c>
      <c r="E49" s="178">
        <v>1319041</v>
      </c>
      <c r="F49" s="177">
        <f>_xlfn.COMPOUNDVALUE(155)</f>
        <v>5213</v>
      </c>
      <c r="G49" s="178">
        <v>2535848</v>
      </c>
      <c r="H49" s="177">
        <f>_xlfn.COMPOUNDVALUE(156)</f>
        <v>152</v>
      </c>
      <c r="I49" s="179">
        <v>96477</v>
      </c>
      <c r="J49" s="177">
        <v>488</v>
      </c>
      <c r="K49" s="179">
        <v>86073</v>
      </c>
      <c r="L49" s="177">
        <v>5592</v>
      </c>
      <c r="M49" s="179">
        <v>2525444</v>
      </c>
      <c r="N49" s="74" t="s">
        <v>126</v>
      </c>
    </row>
    <row r="50" spans="1:14" s="72" customFormat="1" ht="22.5" customHeight="1">
      <c r="A50" s="73" t="s">
        <v>127</v>
      </c>
      <c r="B50" s="177">
        <f>_xlfn.COMPOUNDVALUE(157)</f>
        <v>239</v>
      </c>
      <c r="C50" s="178">
        <v>143063</v>
      </c>
      <c r="D50" s="177">
        <f>_xlfn.COMPOUNDVALUE(158)</f>
        <v>390</v>
      </c>
      <c r="E50" s="178">
        <v>135377</v>
      </c>
      <c r="F50" s="177">
        <f>_xlfn.COMPOUNDVALUE(159)</f>
        <v>629</v>
      </c>
      <c r="G50" s="178">
        <v>278440</v>
      </c>
      <c r="H50" s="177">
        <f>_xlfn.COMPOUNDVALUE(160)</f>
        <v>17</v>
      </c>
      <c r="I50" s="179">
        <v>9506</v>
      </c>
      <c r="J50" s="177">
        <v>50</v>
      </c>
      <c r="K50" s="179">
        <v>5863</v>
      </c>
      <c r="L50" s="177">
        <v>653</v>
      </c>
      <c r="M50" s="179">
        <v>274797</v>
      </c>
      <c r="N50" s="74" t="s">
        <v>128</v>
      </c>
    </row>
    <row r="51" spans="1:14" s="72" customFormat="1" ht="22.5" customHeight="1">
      <c r="A51" s="75" t="s">
        <v>129</v>
      </c>
      <c r="B51" s="180">
        <v>27988</v>
      </c>
      <c r="C51" s="181">
        <v>19549154</v>
      </c>
      <c r="D51" s="180">
        <v>42442</v>
      </c>
      <c r="E51" s="181">
        <v>18547097</v>
      </c>
      <c r="F51" s="180">
        <v>70430</v>
      </c>
      <c r="G51" s="181">
        <v>38096251</v>
      </c>
      <c r="H51" s="180">
        <v>2088</v>
      </c>
      <c r="I51" s="182">
        <v>1898272</v>
      </c>
      <c r="J51" s="180">
        <v>5125</v>
      </c>
      <c r="K51" s="182">
        <v>827845</v>
      </c>
      <c r="L51" s="180">
        <v>74375</v>
      </c>
      <c r="M51" s="182">
        <v>37025824</v>
      </c>
      <c r="N51" s="76" t="s">
        <v>130</v>
      </c>
    </row>
    <row r="52" spans="1:14" s="72" customFormat="1" ht="22.5" customHeight="1">
      <c r="A52" s="77"/>
      <c r="B52" s="183"/>
      <c r="C52" s="184"/>
      <c r="D52" s="183"/>
      <c r="E52" s="184"/>
      <c r="F52" s="185"/>
      <c r="G52" s="184"/>
      <c r="H52" s="185"/>
      <c r="I52" s="184"/>
      <c r="J52" s="185"/>
      <c r="K52" s="184"/>
      <c r="L52" s="185"/>
      <c r="M52" s="184"/>
      <c r="N52" s="78"/>
    </row>
    <row r="53" spans="1:14" s="72" customFormat="1" ht="22.5" customHeight="1">
      <c r="A53" s="70" t="s">
        <v>131</v>
      </c>
      <c r="B53" s="174">
        <f>_xlfn.COMPOUNDVALUE(161)</f>
        <v>1077</v>
      </c>
      <c r="C53" s="175">
        <v>769573</v>
      </c>
      <c r="D53" s="174">
        <f>_xlfn.COMPOUNDVALUE(162)</f>
        <v>1433</v>
      </c>
      <c r="E53" s="175">
        <v>603540</v>
      </c>
      <c r="F53" s="174">
        <f>_xlfn.COMPOUNDVALUE(163)</f>
        <v>2510</v>
      </c>
      <c r="G53" s="175">
        <v>1373113</v>
      </c>
      <c r="H53" s="174">
        <f>_xlfn.COMPOUNDVALUE(164)</f>
        <v>58</v>
      </c>
      <c r="I53" s="176">
        <v>35781</v>
      </c>
      <c r="J53" s="174">
        <v>153</v>
      </c>
      <c r="K53" s="176">
        <v>27296</v>
      </c>
      <c r="L53" s="174">
        <v>2632</v>
      </c>
      <c r="M53" s="176">
        <v>1364627</v>
      </c>
      <c r="N53" s="79" t="s">
        <v>132</v>
      </c>
    </row>
    <row r="54" spans="1:14" s="72" customFormat="1" ht="22.5" customHeight="1">
      <c r="A54" s="73" t="s">
        <v>133</v>
      </c>
      <c r="B54" s="177">
        <f>_xlfn.COMPOUNDVALUE(165)</f>
        <v>1538</v>
      </c>
      <c r="C54" s="178">
        <v>1016080</v>
      </c>
      <c r="D54" s="177">
        <f>_xlfn.COMPOUNDVALUE(166)</f>
        <v>2011</v>
      </c>
      <c r="E54" s="178">
        <v>880916</v>
      </c>
      <c r="F54" s="177">
        <f>_xlfn.COMPOUNDVALUE(167)</f>
        <v>3549</v>
      </c>
      <c r="G54" s="178">
        <v>1896997</v>
      </c>
      <c r="H54" s="177">
        <f>_xlfn.COMPOUNDVALUE(168)</f>
        <v>109</v>
      </c>
      <c r="I54" s="179">
        <v>119716</v>
      </c>
      <c r="J54" s="177">
        <v>183</v>
      </c>
      <c r="K54" s="179">
        <v>28314</v>
      </c>
      <c r="L54" s="177">
        <v>3750</v>
      </c>
      <c r="M54" s="179">
        <v>1805595</v>
      </c>
      <c r="N54" s="74" t="s">
        <v>134</v>
      </c>
    </row>
    <row r="55" spans="1:14" s="72" customFormat="1" ht="22.5" customHeight="1">
      <c r="A55" s="73" t="s">
        <v>135</v>
      </c>
      <c r="B55" s="177">
        <f>_xlfn.COMPOUNDVALUE(169)</f>
        <v>1340</v>
      </c>
      <c r="C55" s="178">
        <v>926605</v>
      </c>
      <c r="D55" s="177">
        <f>_xlfn.COMPOUNDVALUE(170)</f>
        <v>1691</v>
      </c>
      <c r="E55" s="178">
        <v>650050</v>
      </c>
      <c r="F55" s="177">
        <f>_xlfn.COMPOUNDVALUE(171)</f>
        <v>3031</v>
      </c>
      <c r="G55" s="178">
        <v>1576655</v>
      </c>
      <c r="H55" s="177">
        <f>_xlfn.COMPOUNDVALUE(172)</f>
        <v>89</v>
      </c>
      <c r="I55" s="179">
        <v>52193</v>
      </c>
      <c r="J55" s="177">
        <v>166</v>
      </c>
      <c r="K55" s="179">
        <v>17940</v>
      </c>
      <c r="L55" s="177">
        <v>3178</v>
      </c>
      <c r="M55" s="179">
        <v>1542403</v>
      </c>
      <c r="N55" s="74" t="s">
        <v>136</v>
      </c>
    </row>
    <row r="56" spans="1:14" s="72" customFormat="1" ht="22.5" customHeight="1">
      <c r="A56" s="73" t="s">
        <v>137</v>
      </c>
      <c r="B56" s="177">
        <f>_xlfn.COMPOUNDVALUE(173)</f>
        <v>1007</v>
      </c>
      <c r="C56" s="178">
        <v>633579</v>
      </c>
      <c r="D56" s="177">
        <f>_xlfn.COMPOUNDVALUE(174)</f>
        <v>1199</v>
      </c>
      <c r="E56" s="178">
        <v>467586</v>
      </c>
      <c r="F56" s="177">
        <f>_xlfn.COMPOUNDVALUE(175)</f>
        <v>2206</v>
      </c>
      <c r="G56" s="178">
        <v>1101164</v>
      </c>
      <c r="H56" s="177">
        <f>_xlfn.COMPOUNDVALUE(176)</f>
        <v>93</v>
      </c>
      <c r="I56" s="179">
        <v>75678</v>
      </c>
      <c r="J56" s="177">
        <v>214</v>
      </c>
      <c r="K56" s="179">
        <v>46818</v>
      </c>
      <c r="L56" s="177">
        <v>2378</v>
      </c>
      <c r="M56" s="179">
        <v>1072305</v>
      </c>
      <c r="N56" s="74" t="s">
        <v>138</v>
      </c>
    </row>
    <row r="57" spans="1:14" s="72" customFormat="1" ht="22.5" customHeight="1">
      <c r="A57" s="73" t="s">
        <v>139</v>
      </c>
      <c r="B57" s="177">
        <f>_xlfn.COMPOUNDVALUE(177)</f>
        <v>786</v>
      </c>
      <c r="C57" s="178">
        <v>497449</v>
      </c>
      <c r="D57" s="177">
        <f>_xlfn.COMPOUNDVALUE(178)</f>
        <v>1126</v>
      </c>
      <c r="E57" s="178">
        <v>450292</v>
      </c>
      <c r="F57" s="177">
        <f>_xlfn.COMPOUNDVALUE(179)</f>
        <v>1912</v>
      </c>
      <c r="G57" s="178">
        <v>947742</v>
      </c>
      <c r="H57" s="177">
        <f>_xlfn.COMPOUNDVALUE(180)</f>
        <v>68</v>
      </c>
      <c r="I57" s="179">
        <v>35121</v>
      </c>
      <c r="J57" s="177">
        <v>143</v>
      </c>
      <c r="K57" s="179">
        <v>20450</v>
      </c>
      <c r="L57" s="177">
        <v>2025</v>
      </c>
      <c r="M57" s="179">
        <v>933071</v>
      </c>
      <c r="N57" s="74" t="s">
        <v>140</v>
      </c>
    </row>
    <row r="58" spans="1:14" s="72" customFormat="1" ht="22.5" customHeight="1">
      <c r="A58" s="73" t="s">
        <v>141</v>
      </c>
      <c r="B58" s="177">
        <f>_xlfn.COMPOUNDVALUE(181)</f>
        <v>645</v>
      </c>
      <c r="C58" s="178">
        <v>387550</v>
      </c>
      <c r="D58" s="177">
        <f>_xlfn.COMPOUNDVALUE(182)</f>
        <v>734</v>
      </c>
      <c r="E58" s="178">
        <v>287559</v>
      </c>
      <c r="F58" s="177">
        <f>_xlfn.COMPOUNDVALUE(183)</f>
        <v>1379</v>
      </c>
      <c r="G58" s="178">
        <v>675109</v>
      </c>
      <c r="H58" s="177">
        <f>_xlfn.COMPOUNDVALUE(184)</f>
        <v>55</v>
      </c>
      <c r="I58" s="179">
        <v>34313</v>
      </c>
      <c r="J58" s="177">
        <v>116</v>
      </c>
      <c r="K58" s="179">
        <v>17432</v>
      </c>
      <c r="L58" s="177">
        <v>1456</v>
      </c>
      <c r="M58" s="179">
        <v>658229</v>
      </c>
      <c r="N58" s="74" t="s">
        <v>142</v>
      </c>
    </row>
    <row r="59" spans="1:14" s="72" customFormat="1" ht="22.5" customHeight="1">
      <c r="A59" s="73" t="s">
        <v>143</v>
      </c>
      <c r="B59" s="177">
        <f>_xlfn.COMPOUNDVALUE(185)</f>
        <v>981</v>
      </c>
      <c r="C59" s="178">
        <v>780175</v>
      </c>
      <c r="D59" s="177">
        <f>_xlfn.COMPOUNDVALUE(186)</f>
        <v>1387</v>
      </c>
      <c r="E59" s="178">
        <v>593236</v>
      </c>
      <c r="F59" s="177">
        <f>_xlfn.COMPOUNDVALUE(187)</f>
        <v>2368</v>
      </c>
      <c r="G59" s="178">
        <v>1373412</v>
      </c>
      <c r="H59" s="177">
        <f>_xlfn.COMPOUNDVALUE(188)</f>
        <v>76</v>
      </c>
      <c r="I59" s="179">
        <v>103384</v>
      </c>
      <c r="J59" s="177">
        <v>145</v>
      </c>
      <c r="K59" s="179">
        <v>28976</v>
      </c>
      <c r="L59" s="177">
        <v>2509</v>
      </c>
      <c r="M59" s="179">
        <v>1299003</v>
      </c>
      <c r="N59" s="74" t="s">
        <v>144</v>
      </c>
    </row>
    <row r="60" spans="1:14" s="72" customFormat="1" ht="22.5" customHeight="1">
      <c r="A60" s="73" t="s">
        <v>145</v>
      </c>
      <c r="B60" s="177">
        <f>_xlfn.COMPOUNDVALUE(189)</f>
        <v>511</v>
      </c>
      <c r="C60" s="178">
        <v>402345</v>
      </c>
      <c r="D60" s="177">
        <f>_xlfn.COMPOUNDVALUE(190)</f>
        <v>645</v>
      </c>
      <c r="E60" s="178">
        <v>235346</v>
      </c>
      <c r="F60" s="177">
        <f>_xlfn.COMPOUNDVALUE(191)</f>
        <v>1156</v>
      </c>
      <c r="G60" s="178">
        <v>637691</v>
      </c>
      <c r="H60" s="177">
        <f>_xlfn.COMPOUNDVALUE(192)</f>
        <v>16</v>
      </c>
      <c r="I60" s="179">
        <v>66419</v>
      </c>
      <c r="J60" s="177">
        <v>69</v>
      </c>
      <c r="K60" s="179">
        <v>13930</v>
      </c>
      <c r="L60" s="177">
        <v>1209</v>
      </c>
      <c r="M60" s="179">
        <v>585201</v>
      </c>
      <c r="N60" s="74" t="s">
        <v>146</v>
      </c>
    </row>
    <row r="61" spans="1:14" s="72" customFormat="1" ht="22.5" customHeight="1">
      <c r="A61" s="75" t="s">
        <v>147</v>
      </c>
      <c r="B61" s="180">
        <v>7885</v>
      </c>
      <c r="C61" s="181">
        <v>5413357</v>
      </c>
      <c r="D61" s="180">
        <v>10226</v>
      </c>
      <c r="E61" s="181">
        <v>4168525</v>
      </c>
      <c r="F61" s="180">
        <v>18111</v>
      </c>
      <c r="G61" s="181">
        <v>9581882</v>
      </c>
      <c r="H61" s="180">
        <v>564</v>
      </c>
      <c r="I61" s="182">
        <v>522605</v>
      </c>
      <c r="J61" s="180">
        <v>1189</v>
      </c>
      <c r="K61" s="182">
        <v>201156</v>
      </c>
      <c r="L61" s="180">
        <v>19137</v>
      </c>
      <c r="M61" s="182">
        <v>9260434</v>
      </c>
      <c r="N61" s="76" t="s">
        <v>148</v>
      </c>
    </row>
    <row r="62" spans="1:14" s="72" customFormat="1" ht="22.5" customHeight="1" thickBot="1">
      <c r="A62" s="80"/>
      <c r="B62" s="187"/>
      <c r="C62" s="188"/>
      <c r="D62" s="187"/>
      <c r="E62" s="188"/>
      <c r="F62" s="189"/>
      <c r="G62" s="188"/>
      <c r="H62" s="189"/>
      <c r="I62" s="188"/>
      <c r="J62" s="189"/>
      <c r="K62" s="188"/>
      <c r="L62" s="189"/>
      <c r="M62" s="188"/>
      <c r="N62" s="81"/>
    </row>
    <row r="63" spans="1:14" s="72" customFormat="1" ht="22.5" customHeight="1" thickBot="1" thickTop="1">
      <c r="A63" s="82" t="s">
        <v>42</v>
      </c>
      <c r="B63" s="190">
        <v>58860</v>
      </c>
      <c r="C63" s="191">
        <v>39487468</v>
      </c>
      <c r="D63" s="190">
        <v>91596</v>
      </c>
      <c r="E63" s="191">
        <v>38529611</v>
      </c>
      <c r="F63" s="190">
        <v>150456</v>
      </c>
      <c r="G63" s="191">
        <v>78017079</v>
      </c>
      <c r="H63" s="190">
        <v>4192</v>
      </c>
      <c r="I63" s="192">
        <v>3539687</v>
      </c>
      <c r="J63" s="190">
        <v>10324</v>
      </c>
      <c r="K63" s="192">
        <v>1528718</v>
      </c>
      <c r="L63" s="190">
        <v>158203</v>
      </c>
      <c r="M63" s="192">
        <v>76006111</v>
      </c>
      <c r="N63" s="83" t="s">
        <v>43</v>
      </c>
    </row>
    <row r="64" spans="1:14" s="120" customFormat="1" ht="3" customHeight="1">
      <c r="A64" s="118"/>
      <c r="B64" s="119"/>
      <c r="C64" s="119"/>
      <c r="D64" s="119"/>
      <c r="E64" s="119"/>
      <c r="F64" s="119"/>
      <c r="G64" s="119"/>
      <c r="H64" s="119"/>
      <c r="I64" s="119"/>
      <c r="J64" s="119"/>
      <c r="K64" s="119"/>
      <c r="L64" s="119"/>
      <c r="M64" s="119"/>
      <c r="N64" s="118"/>
    </row>
    <row r="65" spans="1:14" ht="22.5" customHeight="1">
      <c r="A65" s="249" t="s">
        <v>226</v>
      </c>
      <c r="B65" s="249"/>
      <c r="C65" s="249"/>
      <c r="D65" s="249"/>
      <c r="E65" s="249"/>
      <c r="F65" s="249"/>
      <c r="G65" s="249"/>
      <c r="H65" s="249"/>
      <c r="I65" s="249"/>
      <c r="J65" s="60"/>
      <c r="K65" s="60"/>
      <c r="L65" s="61"/>
      <c r="M65" s="61"/>
      <c r="N65" s="61"/>
    </row>
  </sheetData>
  <sheetProtection/>
  <mergeCells count="11">
    <mergeCell ref="A2:G2"/>
    <mergeCell ref="A3:A5"/>
    <mergeCell ref="B3:G3"/>
    <mergeCell ref="H3:I4"/>
    <mergeCell ref="J3:K4"/>
    <mergeCell ref="L3:M4"/>
    <mergeCell ref="N3:N5"/>
    <mergeCell ref="B4:C4"/>
    <mergeCell ref="D4:E4"/>
    <mergeCell ref="F4:G4"/>
    <mergeCell ref="A65:I65"/>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&amp;R名古屋国税局　消費税（H28）</oddFooter>
  </headerFooter>
</worksheet>
</file>

<file path=xl/worksheets/sheet5.xml><?xml version="1.0" encoding="utf-8"?>
<worksheet xmlns="http://schemas.openxmlformats.org/spreadsheetml/2006/main" xmlns:r="http://schemas.openxmlformats.org/officeDocument/2006/relationships">
  <dimension ref="A1:N65"/>
  <sheetViews>
    <sheetView zoomScale="85" zoomScaleNormal="85" zoomScaleSheetLayoutView="100" workbookViewId="0" topLeftCell="A1">
      <selection activeCell="A1" sqref="A1"/>
    </sheetView>
  </sheetViews>
  <sheetFormatPr defaultColWidth="9.00390625" defaultRowHeight="13.5"/>
  <cols>
    <col min="1" max="1" width="11.375" style="173" customWidth="1"/>
    <col min="2" max="2" width="11.25390625" style="173" customWidth="1"/>
    <col min="3" max="3" width="12.625" style="173" customWidth="1"/>
    <col min="4" max="4" width="11.25390625" style="173" customWidth="1"/>
    <col min="5" max="5" width="12.625" style="173" customWidth="1"/>
    <col min="6" max="6" width="11.25390625" style="173" customWidth="1"/>
    <col min="7" max="7" width="12.625" style="173" customWidth="1"/>
    <col min="8" max="8" width="11.25390625" style="173" customWidth="1"/>
    <col min="9" max="9" width="12.625" style="173" customWidth="1"/>
    <col min="10" max="10" width="11.25390625" style="173" customWidth="1"/>
    <col min="11" max="11" width="12.625" style="173" customWidth="1"/>
    <col min="12" max="12" width="11.25390625" style="173" customWidth="1"/>
    <col min="13" max="13" width="12.625" style="173" customWidth="1"/>
    <col min="14" max="14" width="11.375" style="173" customWidth="1"/>
    <col min="15" max="16384" width="9.00390625" style="173" customWidth="1"/>
  </cols>
  <sheetData>
    <row r="1" spans="1:14" ht="13.5">
      <c r="A1" s="60" t="s">
        <v>234</v>
      </c>
      <c r="B1" s="60"/>
      <c r="C1" s="60"/>
      <c r="D1" s="60"/>
      <c r="E1" s="60"/>
      <c r="F1" s="60"/>
      <c r="G1" s="60"/>
      <c r="H1" s="60"/>
      <c r="I1" s="60"/>
      <c r="J1" s="60"/>
      <c r="K1" s="60"/>
      <c r="L1" s="61"/>
      <c r="M1" s="61"/>
      <c r="N1" s="84"/>
    </row>
    <row r="2" spans="1:14" ht="14.25" thickBot="1">
      <c r="A2" s="258" t="s">
        <v>149</v>
      </c>
      <c r="B2" s="258"/>
      <c r="C2" s="258"/>
      <c r="D2" s="258"/>
      <c r="E2" s="258"/>
      <c r="F2" s="258"/>
      <c r="G2" s="258"/>
      <c r="H2" s="258"/>
      <c r="I2" s="258"/>
      <c r="J2" s="60"/>
      <c r="K2" s="60"/>
      <c r="L2" s="61"/>
      <c r="M2" s="61"/>
      <c r="N2" s="84"/>
    </row>
    <row r="3" spans="1:14" ht="22.5" customHeight="1">
      <c r="A3" s="250" t="s">
        <v>154</v>
      </c>
      <c r="B3" s="253" t="s">
        <v>155</v>
      </c>
      <c r="C3" s="253"/>
      <c r="D3" s="253"/>
      <c r="E3" s="253"/>
      <c r="F3" s="253"/>
      <c r="G3" s="253"/>
      <c r="H3" s="254" t="s">
        <v>13</v>
      </c>
      <c r="I3" s="255"/>
      <c r="J3" s="257" t="s">
        <v>37</v>
      </c>
      <c r="K3" s="255"/>
      <c r="L3" s="238" t="s">
        <v>38</v>
      </c>
      <c r="M3" s="239"/>
      <c r="N3" s="242" t="s">
        <v>150</v>
      </c>
    </row>
    <row r="4" spans="1:14" ht="18.75" customHeight="1">
      <c r="A4" s="251"/>
      <c r="B4" s="246" t="s">
        <v>18</v>
      </c>
      <c r="C4" s="247"/>
      <c r="D4" s="246" t="s">
        <v>40</v>
      </c>
      <c r="E4" s="247"/>
      <c r="F4" s="240" t="s">
        <v>41</v>
      </c>
      <c r="G4" s="248"/>
      <c r="H4" s="246"/>
      <c r="I4" s="256"/>
      <c r="J4" s="246"/>
      <c r="K4" s="256"/>
      <c r="L4" s="240"/>
      <c r="M4" s="241"/>
      <c r="N4" s="243"/>
    </row>
    <row r="5" spans="1:14" ht="33.75" customHeight="1">
      <c r="A5" s="252"/>
      <c r="B5" s="200" t="s">
        <v>224</v>
      </c>
      <c r="C5" s="62" t="s">
        <v>156</v>
      </c>
      <c r="D5" s="200" t="s">
        <v>224</v>
      </c>
      <c r="E5" s="62" t="s">
        <v>156</v>
      </c>
      <c r="F5" s="200" t="s">
        <v>224</v>
      </c>
      <c r="G5" s="63" t="s">
        <v>221</v>
      </c>
      <c r="H5" s="200" t="s">
        <v>224</v>
      </c>
      <c r="I5" s="63" t="s">
        <v>222</v>
      </c>
      <c r="J5" s="200" t="s">
        <v>224</v>
      </c>
      <c r="K5" s="63" t="s">
        <v>223</v>
      </c>
      <c r="L5" s="200" t="s">
        <v>224</v>
      </c>
      <c r="M5" s="63" t="s">
        <v>157</v>
      </c>
      <c r="N5" s="244"/>
    </row>
    <row r="6" spans="1:14" s="85" customFormat="1" ht="10.5">
      <c r="A6" s="64"/>
      <c r="B6" s="65" t="s">
        <v>4</v>
      </c>
      <c r="C6" s="66" t="s">
        <v>5</v>
      </c>
      <c r="D6" s="65" t="s">
        <v>4</v>
      </c>
      <c r="E6" s="66" t="s">
        <v>5</v>
      </c>
      <c r="F6" s="65" t="s">
        <v>4</v>
      </c>
      <c r="G6" s="66" t="s">
        <v>5</v>
      </c>
      <c r="H6" s="65" t="s">
        <v>4</v>
      </c>
      <c r="I6" s="67" t="s">
        <v>5</v>
      </c>
      <c r="J6" s="65" t="s">
        <v>4</v>
      </c>
      <c r="K6" s="67" t="s">
        <v>5</v>
      </c>
      <c r="L6" s="65" t="s">
        <v>232</v>
      </c>
      <c r="M6" s="67" t="s">
        <v>5</v>
      </c>
      <c r="N6" s="68"/>
    </row>
    <row r="7" spans="1:14" ht="22.5" customHeight="1">
      <c r="A7" s="70" t="s">
        <v>158</v>
      </c>
      <c r="B7" s="174">
        <f>_xlfn.COMPOUNDVALUE(193)</f>
        <v>4622</v>
      </c>
      <c r="C7" s="175">
        <v>30934095</v>
      </c>
      <c r="D7" s="174">
        <f>_xlfn.COMPOUNDVALUE(194)</f>
        <v>1770</v>
      </c>
      <c r="E7" s="175">
        <v>1010111</v>
      </c>
      <c r="F7" s="174">
        <f>_xlfn.COMPOUNDVALUE(195)</f>
        <v>6392</v>
      </c>
      <c r="G7" s="175">
        <v>31944207</v>
      </c>
      <c r="H7" s="174">
        <f>_xlfn.COMPOUNDVALUE(196)</f>
        <v>300</v>
      </c>
      <c r="I7" s="176">
        <v>1270617</v>
      </c>
      <c r="J7" s="174">
        <v>517</v>
      </c>
      <c r="K7" s="176">
        <v>-17552</v>
      </c>
      <c r="L7" s="174">
        <v>6747</v>
      </c>
      <c r="M7" s="176">
        <v>30656037</v>
      </c>
      <c r="N7" s="71" t="s">
        <v>46</v>
      </c>
    </row>
    <row r="8" spans="1:14" ht="22.5" customHeight="1">
      <c r="A8" s="73" t="s">
        <v>169</v>
      </c>
      <c r="B8" s="177">
        <f>_xlfn.COMPOUNDVALUE(197)</f>
        <v>4353</v>
      </c>
      <c r="C8" s="178">
        <v>33374817</v>
      </c>
      <c r="D8" s="177">
        <f>_xlfn.COMPOUNDVALUE(198)</f>
        <v>1530</v>
      </c>
      <c r="E8" s="178">
        <v>953939</v>
      </c>
      <c r="F8" s="177">
        <f>_xlfn.COMPOUNDVALUE(199)</f>
        <v>5883</v>
      </c>
      <c r="G8" s="178">
        <v>34328756</v>
      </c>
      <c r="H8" s="177">
        <f>_xlfn.COMPOUNDVALUE(200)</f>
        <v>278</v>
      </c>
      <c r="I8" s="179">
        <v>1258257</v>
      </c>
      <c r="J8" s="177">
        <v>371</v>
      </c>
      <c r="K8" s="179">
        <v>-34083</v>
      </c>
      <c r="L8" s="177">
        <v>6200</v>
      </c>
      <c r="M8" s="179">
        <v>33036416</v>
      </c>
      <c r="N8" s="74" t="s">
        <v>48</v>
      </c>
    </row>
    <row r="9" spans="1:14" ht="22.5" customHeight="1">
      <c r="A9" s="73" t="s">
        <v>170</v>
      </c>
      <c r="B9" s="177">
        <f>_xlfn.COMPOUNDVALUE(201)</f>
        <v>3491</v>
      </c>
      <c r="C9" s="178">
        <v>35682111</v>
      </c>
      <c r="D9" s="177">
        <f>_xlfn.COMPOUNDVALUE(202)</f>
        <v>1224</v>
      </c>
      <c r="E9" s="178">
        <v>699743</v>
      </c>
      <c r="F9" s="177">
        <f>_xlfn.COMPOUNDVALUE(203)</f>
        <v>4715</v>
      </c>
      <c r="G9" s="178">
        <v>36381854</v>
      </c>
      <c r="H9" s="177">
        <f>_xlfn.COMPOUNDVALUE(204)</f>
        <v>283</v>
      </c>
      <c r="I9" s="179">
        <v>5229503</v>
      </c>
      <c r="J9" s="177">
        <v>257</v>
      </c>
      <c r="K9" s="179">
        <v>39833</v>
      </c>
      <c r="L9" s="177">
        <v>5023</v>
      </c>
      <c r="M9" s="179">
        <v>31192184</v>
      </c>
      <c r="N9" s="74" t="s">
        <v>50</v>
      </c>
    </row>
    <row r="10" spans="1:14" ht="22.5" customHeight="1">
      <c r="A10" s="73" t="s">
        <v>171</v>
      </c>
      <c r="B10" s="177">
        <f>_xlfn.COMPOUNDVALUE(205)</f>
        <v>1961</v>
      </c>
      <c r="C10" s="178">
        <v>10289036</v>
      </c>
      <c r="D10" s="177">
        <f>_xlfn.COMPOUNDVALUE(206)</f>
        <v>807</v>
      </c>
      <c r="E10" s="178">
        <v>439650</v>
      </c>
      <c r="F10" s="177">
        <f>_xlfn.COMPOUNDVALUE(207)</f>
        <v>2768</v>
      </c>
      <c r="G10" s="178">
        <v>10728686</v>
      </c>
      <c r="H10" s="177">
        <f>_xlfn.COMPOUNDVALUE(208)</f>
        <v>105</v>
      </c>
      <c r="I10" s="179">
        <v>606392</v>
      </c>
      <c r="J10" s="177">
        <v>177</v>
      </c>
      <c r="K10" s="179">
        <v>14205</v>
      </c>
      <c r="L10" s="177">
        <v>2880</v>
      </c>
      <c r="M10" s="179">
        <v>10136499</v>
      </c>
      <c r="N10" s="74" t="s">
        <v>52</v>
      </c>
    </row>
    <row r="11" spans="1:14" ht="22.5" customHeight="1">
      <c r="A11" s="73" t="s">
        <v>172</v>
      </c>
      <c r="B11" s="177">
        <f>_xlfn.COMPOUNDVALUE(209)</f>
        <v>2886</v>
      </c>
      <c r="C11" s="178">
        <v>21187971</v>
      </c>
      <c r="D11" s="177">
        <f>_xlfn.COMPOUNDVALUE(210)</f>
        <v>1351</v>
      </c>
      <c r="E11" s="178">
        <v>769420</v>
      </c>
      <c r="F11" s="177">
        <f>_xlfn.COMPOUNDVALUE(211)</f>
        <v>4237</v>
      </c>
      <c r="G11" s="178">
        <v>21957391</v>
      </c>
      <c r="H11" s="177">
        <f>_xlfn.COMPOUNDVALUE(212)</f>
        <v>234</v>
      </c>
      <c r="I11" s="179">
        <v>555029</v>
      </c>
      <c r="J11" s="177">
        <v>285</v>
      </c>
      <c r="K11" s="179">
        <v>7564</v>
      </c>
      <c r="L11" s="177">
        <v>4498</v>
      </c>
      <c r="M11" s="179">
        <v>21409926</v>
      </c>
      <c r="N11" s="74" t="s">
        <v>54</v>
      </c>
    </row>
    <row r="12" spans="1:14" ht="22.5" customHeight="1">
      <c r="A12" s="73" t="s">
        <v>173</v>
      </c>
      <c r="B12" s="177">
        <f>_xlfn.COMPOUNDVALUE(213)</f>
        <v>2780</v>
      </c>
      <c r="C12" s="178">
        <v>18322950</v>
      </c>
      <c r="D12" s="177">
        <f>_xlfn.COMPOUNDVALUE(214)</f>
        <v>1039</v>
      </c>
      <c r="E12" s="178">
        <v>599217</v>
      </c>
      <c r="F12" s="177">
        <f>_xlfn.COMPOUNDVALUE(215)</f>
        <v>3819</v>
      </c>
      <c r="G12" s="178">
        <v>18922167</v>
      </c>
      <c r="H12" s="177">
        <f>_xlfn.COMPOUNDVALUE(216)</f>
        <v>190</v>
      </c>
      <c r="I12" s="179">
        <v>827179</v>
      </c>
      <c r="J12" s="177">
        <v>218</v>
      </c>
      <c r="K12" s="179">
        <v>6108</v>
      </c>
      <c r="L12" s="177">
        <v>4031</v>
      </c>
      <c r="M12" s="179">
        <v>18101095</v>
      </c>
      <c r="N12" s="74" t="s">
        <v>56</v>
      </c>
    </row>
    <row r="13" spans="1:14" ht="22.5" customHeight="1">
      <c r="A13" s="73" t="s">
        <v>174</v>
      </c>
      <c r="B13" s="177">
        <f>_xlfn.COMPOUNDVALUE(217)</f>
        <v>1204</v>
      </c>
      <c r="C13" s="178">
        <v>9571935</v>
      </c>
      <c r="D13" s="177">
        <f>_xlfn.COMPOUNDVALUE(218)</f>
        <v>510</v>
      </c>
      <c r="E13" s="178">
        <v>287166</v>
      </c>
      <c r="F13" s="177">
        <f>_xlfn.COMPOUNDVALUE(219)</f>
        <v>1714</v>
      </c>
      <c r="G13" s="178">
        <v>9859101</v>
      </c>
      <c r="H13" s="177">
        <f>_xlfn.COMPOUNDVALUE(220)</f>
        <v>70</v>
      </c>
      <c r="I13" s="179">
        <v>197722</v>
      </c>
      <c r="J13" s="177">
        <v>99</v>
      </c>
      <c r="K13" s="179">
        <v>5326</v>
      </c>
      <c r="L13" s="177">
        <v>1792</v>
      </c>
      <c r="M13" s="179">
        <v>9666705</v>
      </c>
      <c r="N13" s="74" t="s">
        <v>58</v>
      </c>
    </row>
    <row r="14" spans="1:14" ht="22.5" customHeight="1">
      <c r="A14" s="75" t="s">
        <v>175</v>
      </c>
      <c r="B14" s="180">
        <v>21297</v>
      </c>
      <c r="C14" s="181">
        <v>159362915</v>
      </c>
      <c r="D14" s="180">
        <v>8231</v>
      </c>
      <c r="E14" s="181">
        <v>4759246</v>
      </c>
      <c r="F14" s="180">
        <v>29528</v>
      </c>
      <c r="G14" s="181">
        <v>164122161</v>
      </c>
      <c r="H14" s="180">
        <v>1460</v>
      </c>
      <c r="I14" s="182">
        <v>9944698</v>
      </c>
      <c r="J14" s="180">
        <v>1924</v>
      </c>
      <c r="K14" s="182">
        <v>21400</v>
      </c>
      <c r="L14" s="180">
        <v>31171</v>
      </c>
      <c r="M14" s="182">
        <v>154198863</v>
      </c>
      <c r="N14" s="76" t="s">
        <v>60</v>
      </c>
    </row>
    <row r="15" spans="1:14" ht="22.5" customHeight="1">
      <c r="A15" s="77"/>
      <c r="B15" s="183"/>
      <c r="C15" s="184"/>
      <c r="D15" s="183"/>
      <c r="E15" s="184"/>
      <c r="F15" s="185"/>
      <c r="G15" s="184"/>
      <c r="H15" s="185"/>
      <c r="I15" s="184"/>
      <c r="J15" s="185"/>
      <c r="K15" s="184"/>
      <c r="L15" s="185"/>
      <c r="M15" s="184"/>
      <c r="N15" s="78"/>
    </row>
    <row r="16" spans="1:14" ht="22.5" customHeight="1">
      <c r="A16" s="70" t="s">
        <v>176</v>
      </c>
      <c r="B16" s="174">
        <f>_xlfn.COMPOUNDVALUE(221)</f>
        <v>5390</v>
      </c>
      <c r="C16" s="175">
        <v>51543283</v>
      </c>
      <c r="D16" s="174">
        <f>_xlfn.COMPOUNDVALUE(222)</f>
        <v>2211</v>
      </c>
      <c r="E16" s="175">
        <v>1320633</v>
      </c>
      <c r="F16" s="174">
        <f>_xlfn.COMPOUNDVALUE(223)</f>
        <v>7601</v>
      </c>
      <c r="G16" s="175">
        <v>52863917</v>
      </c>
      <c r="H16" s="174">
        <f>_xlfn.COMPOUNDVALUE(224)</f>
        <v>345</v>
      </c>
      <c r="I16" s="176">
        <v>2628640</v>
      </c>
      <c r="J16" s="174">
        <v>556</v>
      </c>
      <c r="K16" s="176">
        <v>109637</v>
      </c>
      <c r="L16" s="174">
        <v>8008</v>
      </c>
      <c r="M16" s="176">
        <v>50344914</v>
      </c>
      <c r="N16" s="79" t="s">
        <v>62</v>
      </c>
    </row>
    <row r="17" spans="1:14" ht="22.5" customHeight="1">
      <c r="A17" s="70" t="s">
        <v>177</v>
      </c>
      <c r="B17" s="174">
        <f>_xlfn.COMPOUNDVALUE(225)</f>
        <v>2413</v>
      </c>
      <c r="C17" s="175">
        <v>19999351</v>
      </c>
      <c r="D17" s="174">
        <f>_xlfn.COMPOUNDVALUE(226)</f>
        <v>938</v>
      </c>
      <c r="E17" s="175">
        <v>523194</v>
      </c>
      <c r="F17" s="174">
        <f>_xlfn.COMPOUNDVALUE(227)</f>
        <v>3351</v>
      </c>
      <c r="G17" s="175">
        <v>20522545</v>
      </c>
      <c r="H17" s="174">
        <f>_xlfn.COMPOUNDVALUE(228)</f>
        <v>207</v>
      </c>
      <c r="I17" s="176">
        <v>1554312</v>
      </c>
      <c r="J17" s="174">
        <v>280</v>
      </c>
      <c r="K17" s="176">
        <v>116358</v>
      </c>
      <c r="L17" s="174">
        <v>3577</v>
      </c>
      <c r="M17" s="176">
        <v>19084592</v>
      </c>
      <c r="N17" s="71" t="s">
        <v>64</v>
      </c>
    </row>
    <row r="18" spans="1:14" ht="22.5" customHeight="1">
      <c r="A18" s="70" t="s">
        <v>178</v>
      </c>
      <c r="B18" s="174">
        <f>_xlfn.COMPOUNDVALUE(229)</f>
        <v>5148</v>
      </c>
      <c r="C18" s="175">
        <v>42193745</v>
      </c>
      <c r="D18" s="174">
        <f>_xlfn.COMPOUNDVALUE(230)</f>
        <v>2424</v>
      </c>
      <c r="E18" s="175">
        <v>1462765</v>
      </c>
      <c r="F18" s="174">
        <f>_xlfn.COMPOUNDVALUE(231)</f>
        <v>7572</v>
      </c>
      <c r="G18" s="175">
        <v>43656510</v>
      </c>
      <c r="H18" s="174">
        <f>_xlfn.COMPOUNDVALUE(232)</f>
        <v>460</v>
      </c>
      <c r="I18" s="176">
        <v>6875490</v>
      </c>
      <c r="J18" s="174">
        <v>499</v>
      </c>
      <c r="K18" s="176">
        <v>91160</v>
      </c>
      <c r="L18" s="174">
        <v>8068</v>
      </c>
      <c r="M18" s="176">
        <v>36872180</v>
      </c>
      <c r="N18" s="71" t="s">
        <v>66</v>
      </c>
    </row>
    <row r="19" spans="1:14" ht="22.5" customHeight="1">
      <c r="A19" s="70" t="s">
        <v>179</v>
      </c>
      <c r="B19" s="174">
        <f>_xlfn.COMPOUNDVALUE(233)</f>
        <v>3824</v>
      </c>
      <c r="C19" s="175">
        <v>25867528</v>
      </c>
      <c r="D19" s="174">
        <f>_xlfn.COMPOUNDVALUE(234)</f>
        <v>1617</v>
      </c>
      <c r="E19" s="175">
        <v>928201</v>
      </c>
      <c r="F19" s="174">
        <f>_xlfn.COMPOUNDVALUE(235)</f>
        <v>5441</v>
      </c>
      <c r="G19" s="175">
        <v>26795728</v>
      </c>
      <c r="H19" s="174">
        <f>_xlfn.COMPOUNDVALUE(236)</f>
        <v>263</v>
      </c>
      <c r="I19" s="176">
        <v>16577433</v>
      </c>
      <c r="J19" s="174">
        <v>346</v>
      </c>
      <c r="K19" s="176">
        <v>57573</v>
      </c>
      <c r="L19" s="174">
        <v>5736</v>
      </c>
      <c r="M19" s="176">
        <v>10275869</v>
      </c>
      <c r="N19" s="71" t="s">
        <v>68</v>
      </c>
    </row>
    <row r="20" spans="1:14" ht="22.5" customHeight="1">
      <c r="A20" s="70" t="s">
        <v>180</v>
      </c>
      <c r="B20" s="174">
        <f>_xlfn.COMPOUNDVALUE(237)</f>
        <v>4262</v>
      </c>
      <c r="C20" s="175">
        <v>34202837</v>
      </c>
      <c r="D20" s="174">
        <f>_xlfn.COMPOUNDVALUE(238)</f>
        <v>2058</v>
      </c>
      <c r="E20" s="175">
        <v>1235720</v>
      </c>
      <c r="F20" s="174">
        <f>_xlfn.COMPOUNDVALUE(239)</f>
        <v>6320</v>
      </c>
      <c r="G20" s="175">
        <v>35438557</v>
      </c>
      <c r="H20" s="174">
        <f>_xlfn.COMPOUNDVALUE(240)</f>
        <v>206</v>
      </c>
      <c r="I20" s="176">
        <v>1474210</v>
      </c>
      <c r="J20" s="174">
        <v>351</v>
      </c>
      <c r="K20" s="176">
        <v>48689</v>
      </c>
      <c r="L20" s="174">
        <v>6567</v>
      </c>
      <c r="M20" s="176">
        <v>34013036</v>
      </c>
      <c r="N20" s="71" t="s">
        <v>70</v>
      </c>
    </row>
    <row r="21" spans="1:14" ht="22.5" customHeight="1">
      <c r="A21" s="70" t="s">
        <v>181</v>
      </c>
      <c r="B21" s="174">
        <f>_xlfn.COMPOUNDVALUE(241)</f>
        <v>1226</v>
      </c>
      <c r="C21" s="175">
        <v>5190639</v>
      </c>
      <c r="D21" s="174">
        <f>_xlfn.COMPOUNDVALUE(242)</f>
        <v>704</v>
      </c>
      <c r="E21" s="175">
        <v>375717</v>
      </c>
      <c r="F21" s="174">
        <f>_xlfn.COMPOUNDVALUE(243)</f>
        <v>1930</v>
      </c>
      <c r="G21" s="175">
        <v>5566356</v>
      </c>
      <c r="H21" s="174">
        <f>_xlfn.COMPOUNDVALUE(244)</f>
        <v>59</v>
      </c>
      <c r="I21" s="176">
        <v>111853</v>
      </c>
      <c r="J21" s="174">
        <v>100</v>
      </c>
      <c r="K21" s="176">
        <v>13357</v>
      </c>
      <c r="L21" s="174">
        <v>2008</v>
      </c>
      <c r="M21" s="176">
        <v>5467859</v>
      </c>
      <c r="N21" s="71" t="s">
        <v>72</v>
      </c>
    </row>
    <row r="22" spans="1:14" ht="22.5" customHeight="1">
      <c r="A22" s="73" t="s">
        <v>182</v>
      </c>
      <c r="B22" s="177">
        <f>_xlfn.COMPOUNDVALUE(245)</f>
        <v>2027</v>
      </c>
      <c r="C22" s="178">
        <v>11376972</v>
      </c>
      <c r="D22" s="177">
        <f>_xlfn.COMPOUNDVALUE(246)</f>
        <v>1050</v>
      </c>
      <c r="E22" s="178">
        <v>582653</v>
      </c>
      <c r="F22" s="177">
        <f>_xlfn.COMPOUNDVALUE(247)</f>
        <v>3077</v>
      </c>
      <c r="G22" s="178">
        <v>11959625</v>
      </c>
      <c r="H22" s="177">
        <f>_xlfn.COMPOUNDVALUE(248)</f>
        <v>86</v>
      </c>
      <c r="I22" s="179">
        <v>359708</v>
      </c>
      <c r="J22" s="177">
        <v>187</v>
      </c>
      <c r="K22" s="179">
        <v>8786</v>
      </c>
      <c r="L22" s="177">
        <v>3176</v>
      </c>
      <c r="M22" s="179">
        <v>11608703</v>
      </c>
      <c r="N22" s="74" t="s">
        <v>74</v>
      </c>
    </row>
    <row r="23" spans="1:14" ht="22.5" customHeight="1">
      <c r="A23" s="73" t="s">
        <v>183</v>
      </c>
      <c r="B23" s="177">
        <f>_xlfn.COMPOUNDVALUE(249)</f>
        <v>1771</v>
      </c>
      <c r="C23" s="178">
        <v>11883988</v>
      </c>
      <c r="D23" s="177">
        <f>_xlfn.COMPOUNDVALUE(250)</f>
        <v>607</v>
      </c>
      <c r="E23" s="178">
        <v>350754</v>
      </c>
      <c r="F23" s="177">
        <f>_xlfn.COMPOUNDVALUE(251)</f>
        <v>2378</v>
      </c>
      <c r="G23" s="178">
        <v>12234742</v>
      </c>
      <c r="H23" s="177">
        <f>_xlfn.COMPOUNDVALUE(252)</f>
        <v>91</v>
      </c>
      <c r="I23" s="179">
        <v>1468799</v>
      </c>
      <c r="J23" s="177">
        <v>86</v>
      </c>
      <c r="K23" s="179">
        <v>7058</v>
      </c>
      <c r="L23" s="177">
        <v>2472</v>
      </c>
      <c r="M23" s="179">
        <v>10773002</v>
      </c>
      <c r="N23" s="74" t="s">
        <v>76</v>
      </c>
    </row>
    <row r="24" spans="1:14" ht="22.5" customHeight="1">
      <c r="A24" s="73" t="s">
        <v>184</v>
      </c>
      <c r="B24" s="177">
        <f>_xlfn.COMPOUNDVALUE(253)</f>
        <v>3789</v>
      </c>
      <c r="C24" s="178">
        <v>26749703</v>
      </c>
      <c r="D24" s="177">
        <f>_xlfn.COMPOUNDVALUE(254)</f>
        <v>1476</v>
      </c>
      <c r="E24" s="178">
        <v>883180</v>
      </c>
      <c r="F24" s="177">
        <f>_xlfn.COMPOUNDVALUE(255)</f>
        <v>5265</v>
      </c>
      <c r="G24" s="178">
        <v>27632883</v>
      </c>
      <c r="H24" s="177">
        <f>_xlfn.COMPOUNDVALUE(256)</f>
        <v>185</v>
      </c>
      <c r="I24" s="179">
        <v>4871358</v>
      </c>
      <c r="J24" s="177">
        <v>428</v>
      </c>
      <c r="K24" s="179">
        <v>65652</v>
      </c>
      <c r="L24" s="177">
        <v>5494</v>
      </c>
      <c r="M24" s="179">
        <v>22827177</v>
      </c>
      <c r="N24" s="74" t="s">
        <v>78</v>
      </c>
    </row>
    <row r="25" spans="1:14" ht="22.5" customHeight="1">
      <c r="A25" s="73" t="s">
        <v>185</v>
      </c>
      <c r="B25" s="177">
        <f>_xlfn.COMPOUNDVALUE(257)</f>
        <v>2156</v>
      </c>
      <c r="C25" s="178">
        <v>17163281</v>
      </c>
      <c r="D25" s="177">
        <f>_xlfn.COMPOUNDVALUE(258)</f>
        <v>897</v>
      </c>
      <c r="E25" s="178">
        <v>532234</v>
      </c>
      <c r="F25" s="177">
        <f>_xlfn.COMPOUNDVALUE(259)</f>
        <v>3053</v>
      </c>
      <c r="G25" s="178">
        <v>17695515</v>
      </c>
      <c r="H25" s="177">
        <f>_xlfn.COMPOUNDVALUE(260)</f>
        <v>159</v>
      </c>
      <c r="I25" s="179">
        <v>18822582</v>
      </c>
      <c r="J25" s="177">
        <v>207</v>
      </c>
      <c r="K25" s="179">
        <v>84017</v>
      </c>
      <c r="L25" s="177">
        <v>3231</v>
      </c>
      <c r="M25" s="179">
        <v>-1043050</v>
      </c>
      <c r="N25" s="74" t="s">
        <v>80</v>
      </c>
    </row>
    <row r="26" spans="1:14" ht="22.5" customHeight="1">
      <c r="A26" s="73" t="s">
        <v>186</v>
      </c>
      <c r="B26" s="177">
        <f>_xlfn.COMPOUNDVALUE(261)</f>
        <v>1645</v>
      </c>
      <c r="C26" s="178">
        <v>9717590</v>
      </c>
      <c r="D26" s="177">
        <f>_xlfn.COMPOUNDVALUE(262)</f>
        <v>634</v>
      </c>
      <c r="E26" s="178">
        <v>379568</v>
      </c>
      <c r="F26" s="177">
        <f>_xlfn.COMPOUNDVALUE(263)</f>
        <v>2279</v>
      </c>
      <c r="G26" s="178">
        <v>10097158</v>
      </c>
      <c r="H26" s="177">
        <f>_xlfn.COMPOUNDVALUE(264)</f>
        <v>91</v>
      </c>
      <c r="I26" s="179">
        <v>853151</v>
      </c>
      <c r="J26" s="177">
        <v>132</v>
      </c>
      <c r="K26" s="179">
        <v>16792</v>
      </c>
      <c r="L26" s="177">
        <v>2388</v>
      </c>
      <c r="M26" s="179">
        <v>9260799</v>
      </c>
      <c r="N26" s="74" t="s">
        <v>82</v>
      </c>
    </row>
    <row r="27" spans="1:14" ht="22.5" customHeight="1">
      <c r="A27" s="73" t="s">
        <v>187</v>
      </c>
      <c r="B27" s="177">
        <f>_xlfn.COMPOUNDVALUE(265)</f>
        <v>2532</v>
      </c>
      <c r="C27" s="178">
        <v>16463331</v>
      </c>
      <c r="D27" s="177">
        <f>_xlfn.COMPOUNDVALUE(266)</f>
        <v>903</v>
      </c>
      <c r="E27" s="178">
        <v>549401</v>
      </c>
      <c r="F27" s="177">
        <f>_xlfn.COMPOUNDVALUE(267)</f>
        <v>3435</v>
      </c>
      <c r="G27" s="178">
        <v>17012732</v>
      </c>
      <c r="H27" s="177">
        <f>_xlfn.COMPOUNDVALUE(268)</f>
        <v>152</v>
      </c>
      <c r="I27" s="179">
        <v>441763</v>
      </c>
      <c r="J27" s="177">
        <v>187</v>
      </c>
      <c r="K27" s="179">
        <v>38365</v>
      </c>
      <c r="L27" s="177">
        <v>3604</v>
      </c>
      <c r="M27" s="179">
        <v>16609333</v>
      </c>
      <c r="N27" s="74" t="s">
        <v>84</v>
      </c>
    </row>
    <row r="28" spans="1:14" ht="22.5" customHeight="1">
      <c r="A28" s="73" t="s">
        <v>188</v>
      </c>
      <c r="B28" s="177">
        <f>_xlfn.COMPOUNDVALUE(269)</f>
        <v>703</v>
      </c>
      <c r="C28" s="178">
        <v>2600259</v>
      </c>
      <c r="D28" s="177">
        <f>_xlfn.COMPOUNDVALUE(270)</f>
        <v>303</v>
      </c>
      <c r="E28" s="178">
        <v>161765</v>
      </c>
      <c r="F28" s="177">
        <f>_xlfn.COMPOUNDVALUE(271)</f>
        <v>1006</v>
      </c>
      <c r="G28" s="178">
        <v>2762024</v>
      </c>
      <c r="H28" s="177">
        <f>_xlfn.COMPOUNDVALUE(272)</f>
        <v>36</v>
      </c>
      <c r="I28" s="179">
        <v>44326</v>
      </c>
      <c r="J28" s="177">
        <v>99</v>
      </c>
      <c r="K28" s="179">
        <v>3754</v>
      </c>
      <c r="L28" s="177">
        <v>1049</v>
      </c>
      <c r="M28" s="179">
        <v>2721453</v>
      </c>
      <c r="N28" s="74" t="s">
        <v>86</v>
      </c>
    </row>
    <row r="29" spans="1:14" ht="22.5" customHeight="1">
      <c r="A29" s="75" t="s">
        <v>189</v>
      </c>
      <c r="B29" s="180">
        <v>36886</v>
      </c>
      <c r="C29" s="181">
        <v>274952507</v>
      </c>
      <c r="D29" s="180">
        <v>15822</v>
      </c>
      <c r="E29" s="181">
        <v>9285784</v>
      </c>
      <c r="F29" s="180">
        <v>52708</v>
      </c>
      <c r="G29" s="181">
        <v>284238291</v>
      </c>
      <c r="H29" s="180">
        <v>2340</v>
      </c>
      <c r="I29" s="182">
        <v>56083625</v>
      </c>
      <c r="J29" s="180">
        <v>3458</v>
      </c>
      <c r="K29" s="182">
        <v>661199</v>
      </c>
      <c r="L29" s="180">
        <v>55378</v>
      </c>
      <c r="M29" s="182">
        <v>228815865</v>
      </c>
      <c r="N29" s="76" t="s">
        <v>88</v>
      </c>
    </row>
    <row r="30" spans="1:14" ht="22.5" customHeight="1">
      <c r="A30" s="77"/>
      <c r="B30" s="183"/>
      <c r="C30" s="184"/>
      <c r="D30" s="183"/>
      <c r="E30" s="184"/>
      <c r="F30" s="185"/>
      <c r="G30" s="184"/>
      <c r="H30" s="185"/>
      <c r="I30" s="184"/>
      <c r="J30" s="185"/>
      <c r="K30" s="184"/>
      <c r="L30" s="185"/>
      <c r="M30" s="184"/>
      <c r="N30" s="78"/>
    </row>
    <row r="31" spans="1:14" ht="22.5" customHeight="1">
      <c r="A31" s="70" t="s">
        <v>190</v>
      </c>
      <c r="B31" s="174">
        <f>_xlfn.COMPOUNDVALUE(273)</f>
        <v>3399</v>
      </c>
      <c r="C31" s="175">
        <v>25407725</v>
      </c>
      <c r="D31" s="174">
        <f>_xlfn.COMPOUNDVALUE(274)</f>
        <v>1475</v>
      </c>
      <c r="E31" s="175">
        <v>934940</v>
      </c>
      <c r="F31" s="174">
        <f>_xlfn.COMPOUNDVALUE(275)</f>
        <v>4874</v>
      </c>
      <c r="G31" s="175">
        <v>26342665</v>
      </c>
      <c r="H31" s="174">
        <f>_xlfn.COMPOUNDVALUE(276)</f>
        <v>371</v>
      </c>
      <c r="I31" s="176">
        <v>1524776</v>
      </c>
      <c r="J31" s="174">
        <v>346</v>
      </c>
      <c r="K31" s="176">
        <v>35096</v>
      </c>
      <c r="L31" s="174">
        <v>5278</v>
      </c>
      <c r="M31" s="176">
        <v>24852985</v>
      </c>
      <c r="N31" s="79" t="s">
        <v>90</v>
      </c>
    </row>
    <row r="32" spans="1:14" ht="22.5" customHeight="1">
      <c r="A32" s="70" t="s">
        <v>191</v>
      </c>
      <c r="B32" s="174">
        <f>_xlfn.COMPOUNDVALUE(277)</f>
        <v>2037</v>
      </c>
      <c r="C32" s="175">
        <v>82224063</v>
      </c>
      <c r="D32" s="174">
        <f>_xlfn.COMPOUNDVALUE(278)</f>
        <v>652</v>
      </c>
      <c r="E32" s="175">
        <v>415673</v>
      </c>
      <c r="F32" s="174">
        <f>_xlfn.COMPOUNDVALUE(279)</f>
        <v>2689</v>
      </c>
      <c r="G32" s="175">
        <v>82639737</v>
      </c>
      <c r="H32" s="174">
        <f>_xlfn.COMPOUNDVALUE(280)</f>
        <v>280</v>
      </c>
      <c r="I32" s="176">
        <v>16936378</v>
      </c>
      <c r="J32" s="174">
        <v>217</v>
      </c>
      <c r="K32" s="176">
        <v>90688</v>
      </c>
      <c r="L32" s="174">
        <v>2992</v>
      </c>
      <c r="M32" s="176">
        <v>65794046</v>
      </c>
      <c r="N32" s="71" t="s">
        <v>92</v>
      </c>
    </row>
    <row r="33" spans="1:14" ht="22.5" customHeight="1">
      <c r="A33" s="70" t="s">
        <v>192</v>
      </c>
      <c r="B33" s="174">
        <f>_xlfn.COMPOUNDVALUE(281)</f>
        <v>3821</v>
      </c>
      <c r="C33" s="175">
        <v>27052858</v>
      </c>
      <c r="D33" s="174">
        <f>_xlfn.COMPOUNDVALUE(282)</f>
        <v>1453</v>
      </c>
      <c r="E33" s="175">
        <v>872312</v>
      </c>
      <c r="F33" s="174">
        <f>_xlfn.COMPOUNDVALUE(283)</f>
        <v>5274</v>
      </c>
      <c r="G33" s="175">
        <v>27925170</v>
      </c>
      <c r="H33" s="174">
        <f>_xlfn.COMPOUNDVALUE(284)</f>
        <v>263</v>
      </c>
      <c r="I33" s="176">
        <v>778274</v>
      </c>
      <c r="J33" s="174">
        <v>336</v>
      </c>
      <c r="K33" s="176">
        <v>17929</v>
      </c>
      <c r="L33" s="174">
        <v>5578</v>
      </c>
      <c r="M33" s="176">
        <v>27164825</v>
      </c>
      <c r="N33" s="71" t="s">
        <v>94</v>
      </c>
    </row>
    <row r="34" spans="1:14" ht="22.5" customHeight="1">
      <c r="A34" s="70" t="s">
        <v>193</v>
      </c>
      <c r="B34" s="174">
        <f>_xlfn.COMPOUNDVALUE(285)</f>
        <v>4444</v>
      </c>
      <c r="C34" s="175">
        <v>43360391</v>
      </c>
      <c r="D34" s="174">
        <f>_xlfn.COMPOUNDVALUE(286)</f>
        <v>1477</v>
      </c>
      <c r="E34" s="175">
        <v>880365</v>
      </c>
      <c r="F34" s="174">
        <f>_xlfn.COMPOUNDVALUE(287)</f>
        <v>5921</v>
      </c>
      <c r="G34" s="175">
        <v>44240756</v>
      </c>
      <c r="H34" s="174">
        <f>_xlfn.COMPOUNDVALUE(288)</f>
        <v>332</v>
      </c>
      <c r="I34" s="176">
        <v>2965326</v>
      </c>
      <c r="J34" s="174">
        <v>368</v>
      </c>
      <c r="K34" s="176">
        <v>51585</v>
      </c>
      <c r="L34" s="174">
        <v>6284</v>
      </c>
      <c r="M34" s="176">
        <v>41327015</v>
      </c>
      <c r="N34" s="71" t="s">
        <v>96</v>
      </c>
    </row>
    <row r="35" spans="1:14" ht="22.5" customHeight="1">
      <c r="A35" s="70" t="s">
        <v>194</v>
      </c>
      <c r="B35" s="174">
        <f>_xlfn.COMPOUNDVALUE(289)</f>
        <v>3034</v>
      </c>
      <c r="C35" s="175">
        <v>100072815</v>
      </c>
      <c r="D35" s="174">
        <f>_xlfn.COMPOUNDVALUE(290)</f>
        <v>900</v>
      </c>
      <c r="E35" s="175">
        <v>592705</v>
      </c>
      <c r="F35" s="174">
        <f>_xlfn.COMPOUNDVALUE(291)</f>
        <v>3934</v>
      </c>
      <c r="G35" s="175">
        <v>100665519</v>
      </c>
      <c r="H35" s="174">
        <f>_xlfn.COMPOUNDVALUE(292)</f>
        <v>363</v>
      </c>
      <c r="I35" s="176">
        <v>65928394</v>
      </c>
      <c r="J35" s="174">
        <v>241</v>
      </c>
      <c r="K35" s="176">
        <v>1136</v>
      </c>
      <c r="L35" s="174">
        <v>4323</v>
      </c>
      <c r="M35" s="176">
        <v>34738261</v>
      </c>
      <c r="N35" s="71" t="s">
        <v>98</v>
      </c>
    </row>
    <row r="36" spans="1:14" ht="22.5" customHeight="1">
      <c r="A36" s="70" t="s">
        <v>195</v>
      </c>
      <c r="B36" s="174">
        <f>_xlfn.COMPOUNDVALUE(293)</f>
        <v>6148</v>
      </c>
      <c r="C36" s="175">
        <v>126323283</v>
      </c>
      <c r="D36" s="174">
        <f>_xlfn.COMPOUNDVALUE(294)</f>
        <v>1735</v>
      </c>
      <c r="E36" s="175">
        <v>1243743</v>
      </c>
      <c r="F36" s="174">
        <f>_xlfn.COMPOUNDVALUE(295)</f>
        <v>7883</v>
      </c>
      <c r="G36" s="175">
        <v>127567026</v>
      </c>
      <c r="H36" s="174">
        <f>_xlfn.COMPOUNDVALUE(296)</f>
        <v>672</v>
      </c>
      <c r="I36" s="176">
        <v>11430210</v>
      </c>
      <c r="J36" s="174">
        <v>646</v>
      </c>
      <c r="K36" s="176">
        <v>1230279</v>
      </c>
      <c r="L36" s="174">
        <v>8619</v>
      </c>
      <c r="M36" s="176">
        <v>117367095</v>
      </c>
      <c r="N36" s="71" t="s">
        <v>100</v>
      </c>
    </row>
    <row r="37" spans="1:14" ht="22.5" customHeight="1">
      <c r="A37" s="70" t="s">
        <v>196</v>
      </c>
      <c r="B37" s="174">
        <f>_xlfn.COMPOUNDVALUE(297)</f>
        <v>5705</v>
      </c>
      <c r="C37" s="175">
        <v>52830047</v>
      </c>
      <c r="D37" s="174">
        <f>_xlfn.COMPOUNDVALUE(298)</f>
        <v>2230</v>
      </c>
      <c r="E37" s="175">
        <v>1371464</v>
      </c>
      <c r="F37" s="174">
        <f>_xlfn.COMPOUNDVALUE(299)</f>
        <v>7935</v>
      </c>
      <c r="G37" s="175">
        <v>54201511</v>
      </c>
      <c r="H37" s="174">
        <f>_xlfn.COMPOUNDVALUE(300)</f>
        <v>569</v>
      </c>
      <c r="I37" s="176">
        <v>17356420</v>
      </c>
      <c r="J37" s="174">
        <v>528</v>
      </c>
      <c r="K37" s="176">
        <v>-7897</v>
      </c>
      <c r="L37" s="174">
        <v>8560</v>
      </c>
      <c r="M37" s="176">
        <v>36837194</v>
      </c>
      <c r="N37" s="71" t="s">
        <v>102</v>
      </c>
    </row>
    <row r="38" spans="1:14" ht="22.5" customHeight="1">
      <c r="A38" s="70" t="s">
        <v>197</v>
      </c>
      <c r="B38" s="174">
        <f>_xlfn.COMPOUNDVALUE(301)</f>
        <v>5691</v>
      </c>
      <c r="C38" s="175">
        <v>55681563</v>
      </c>
      <c r="D38" s="174">
        <f>_xlfn.COMPOUNDVALUE(302)</f>
        <v>2105</v>
      </c>
      <c r="E38" s="175">
        <v>1278431</v>
      </c>
      <c r="F38" s="174">
        <f>_xlfn.COMPOUNDVALUE(303)</f>
        <v>7796</v>
      </c>
      <c r="G38" s="175">
        <v>56959993</v>
      </c>
      <c r="H38" s="174">
        <f>_xlfn.COMPOUNDVALUE(304)</f>
        <v>375</v>
      </c>
      <c r="I38" s="176">
        <v>2433662</v>
      </c>
      <c r="J38" s="174">
        <v>627</v>
      </c>
      <c r="K38" s="176">
        <v>-30468</v>
      </c>
      <c r="L38" s="174">
        <v>8196</v>
      </c>
      <c r="M38" s="176">
        <v>54495864</v>
      </c>
      <c r="N38" s="71" t="s">
        <v>104</v>
      </c>
    </row>
    <row r="39" spans="1:14" ht="22.5" customHeight="1">
      <c r="A39" s="70" t="s">
        <v>198</v>
      </c>
      <c r="B39" s="174">
        <f>_xlfn.COMPOUNDVALUE(305)</f>
        <v>4901</v>
      </c>
      <c r="C39" s="175">
        <v>40440593</v>
      </c>
      <c r="D39" s="174">
        <f>_xlfn.COMPOUNDVALUE(306)</f>
        <v>1592</v>
      </c>
      <c r="E39" s="175">
        <v>947824</v>
      </c>
      <c r="F39" s="174">
        <f>_xlfn.COMPOUNDVALUE(307)</f>
        <v>6493</v>
      </c>
      <c r="G39" s="175">
        <v>41388417</v>
      </c>
      <c r="H39" s="174">
        <f>_xlfn.COMPOUNDVALUE(308)</f>
        <v>654</v>
      </c>
      <c r="I39" s="176">
        <v>8006648</v>
      </c>
      <c r="J39" s="174">
        <v>559</v>
      </c>
      <c r="K39" s="176">
        <v>102916</v>
      </c>
      <c r="L39" s="174">
        <v>7222</v>
      </c>
      <c r="M39" s="176">
        <v>33484685</v>
      </c>
      <c r="N39" s="71" t="s">
        <v>106</v>
      </c>
    </row>
    <row r="40" spans="1:14" ht="22.5" customHeight="1">
      <c r="A40" s="70" t="s">
        <v>199</v>
      </c>
      <c r="B40" s="174">
        <f>_xlfn.COMPOUNDVALUE(309)</f>
        <v>6891</v>
      </c>
      <c r="C40" s="175">
        <v>50792529</v>
      </c>
      <c r="D40" s="174">
        <f>_xlfn.COMPOUNDVALUE(310)</f>
        <v>2876</v>
      </c>
      <c r="E40" s="175">
        <v>1650048</v>
      </c>
      <c r="F40" s="174">
        <f>_xlfn.COMPOUNDVALUE(311)</f>
        <v>9767</v>
      </c>
      <c r="G40" s="175">
        <v>52442576</v>
      </c>
      <c r="H40" s="174">
        <f>_xlfn.COMPOUNDVALUE(312)</f>
        <v>439</v>
      </c>
      <c r="I40" s="176">
        <v>4097405</v>
      </c>
      <c r="J40" s="174">
        <v>479</v>
      </c>
      <c r="K40" s="176">
        <v>54567</v>
      </c>
      <c r="L40" s="174">
        <v>10241</v>
      </c>
      <c r="M40" s="176">
        <v>48399738</v>
      </c>
      <c r="N40" s="71" t="s">
        <v>108</v>
      </c>
    </row>
    <row r="41" spans="1:14" ht="22.5" customHeight="1">
      <c r="A41" s="70" t="s">
        <v>200</v>
      </c>
      <c r="B41" s="174">
        <f>_xlfn.COMPOUNDVALUE(313)</f>
        <v>3610</v>
      </c>
      <c r="C41" s="175">
        <v>26862368</v>
      </c>
      <c r="D41" s="174">
        <f>_xlfn.COMPOUNDVALUE(314)</f>
        <v>1457</v>
      </c>
      <c r="E41" s="175">
        <v>929544</v>
      </c>
      <c r="F41" s="174">
        <f>_xlfn.COMPOUNDVALUE(315)</f>
        <v>5067</v>
      </c>
      <c r="G41" s="175">
        <v>27791911</v>
      </c>
      <c r="H41" s="174">
        <f>_xlfn.COMPOUNDVALUE(316)</f>
        <v>184</v>
      </c>
      <c r="I41" s="176">
        <v>457384</v>
      </c>
      <c r="J41" s="174">
        <v>325</v>
      </c>
      <c r="K41" s="176">
        <v>37785</v>
      </c>
      <c r="L41" s="174">
        <v>5270</v>
      </c>
      <c r="M41" s="176">
        <v>27372312</v>
      </c>
      <c r="N41" s="71" t="s">
        <v>110</v>
      </c>
    </row>
    <row r="42" spans="1:14" ht="22.5" customHeight="1">
      <c r="A42" s="70" t="s">
        <v>201</v>
      </c>
      <c r="B42" s="174">
        <f>_xlfn.COMPOUNDVALUE(317)</f>
        <v>4304</v>
      </c>
      <c r="C42" s="175">
        <v>39421043</v>
      </c>
      <c r="D42" s="174">
        <f>_xlfn.COMPOUNDVALUE(318)</f>
        <v>1772</v>
      </c>
      <c r="E42" s="175">
        <v>1074894</v>
      </c>
      <c r="F42" s="174">
        <f>_xlfn.COMPOUNDVALUE(319)</f>
        <v>6076</v>
      </c>
      <c r="G42" s="175">
        <v>40495937</v>
      </c>
      <c r="H42" s="174">
        <f>_xlfn.COMPOUNDVALUE(320)</f>
        <v>330</v>
      </c>
      <c r="I42" s="176">
        <v>1566791</v>
      </c>
      <c r="J42" s="174">
        <v>405</v>
      </c>
      <c r="K42" s="176">
        <v>4434</v>
      </c>
      <c r="L42" s="174">
        <v>6433</v>
      </c>
      <c r="M42" s="176">
        <v>38933580</v>
      </c>
      <c r="N42" s="71" t="s">
        <v>112</v>
      </c>
    </row>
    <row r="43" spans="1:14" ht="22.5" customHeight="1">
      <c r="A43" s="70" t="s">
        <v>202</v>
      </c>
      <c r="B43" s="174">
        <f>_xlfn.COMPOUNDVALUE(321)</f>
        <v>1863</v>
      </c>
      <c r="C43" s="175">
        <v>12471170</v>
      </c>
      <c r="D43" s="174">
        <f>_xlfn.COMPOUNDVALUE(322)</f>
        <v>852</v>
      </c>
      <c r="E43" s="175">
        <v>484350</v>
      </c>
      <c r="F43" s="174">
        <f>_xlfn.COMPOUNDVALUE(323)</f>
        <v>2715</v>
      </c>
      <c r="G43" s="175">
        <v>12955520</v>
      </c>
      <c r="H43" s="174">
        <f>_xlfn.COMPOUNDVALUE(324)</f>
        <v>117</v>
      </c>
      <c r="I43" s="176">
        <v>1053184</v>
      </c>
      <c r="J43" s="174">
        <v>154</v>
      </c>
      <c r="K43" s="176">
        <v>38827</v>
      </c>
      <c r="L43" s="174">
        <v>2851</v>
      </c>
      <c r="M43" s="176">
        <v>11941162</v>
      </c>
      <c r="N43" s="71" t="s">
        <v>114</v>
      </c>
    </row>
    <row r="44" spans="1:14" ht="22.5" customHeight="1">
      <c r="A44" s="73" t="s">
        <v>203</v>
      </c>
      <c r="B44" s="177">
        <f>_xlfn.COMPOUNDVALUE(325)</f>
        <v>4946</v>
      </c>
      <c r="C44" s="178">
        <v>43324885</v>
      </c>
      <c r="D44" s="177">
        <f>_xlfn.COMPOUNDVALUE(326)</f>
        <v>1756</v>
      </c>
      <c r="E44" s="178">
        <v>1131985</v>
      </c>
      <c r="F44" s="177">
        <f>_xlfn.COMPOUNDVALUE(327)</f>
        <v>6702</v>
      </c>
      <c r="G44" s="178">
        <v>44456869</v>
      </c>
      <c r="H44" s="177">
        <f>_xlfn.COMPOUNDVALUE(328)</f>
        <v>354</v>
      </c>
      <c r="I44" s="179">
        <v>10847856</v>
      </c>
      <c r="J44" s="177">
        <v>414</v>
      </c>
      <c r="K44" s="179">
        <v>68949</v>
      </c>
      <c r="L44" s="177">
        <v>7116</v>
      </c>
      <c r="M44" s="179">
        <v>33677962</v>
      </c>
      <c r="N44" s="74" t="s">
        <v>116</v>
      </c>
    </row>
    <row r="45" spans="1:14" ht="22.5" customHeight="1">
      <c r="A45" s="73" t="s">
        <v>204</v>
      </c>
      <c r="B45" s="177">
        <f>_xlfn.COMPOUNDVALUE(329)</f>
        <v>3277</v>
      </c>
      <c r="C45" s="178">
        <v>23522083</v>
      </c>
      <c r="D45" s="177">
        <f>_xlfn.COMPOUNDVALUE(330)</f>
        <v>1108</v>
      </c>
      <c r="E45" s="178">
        <v>681577</v>
      </c>
      <c r="F45" s="177">
        <f>_xlfn.COMPOUNDVALUE(331)</f>
        <v>4385</v>
      </c>
      <c r="G45" s="178">
        <v>24203660</v>
      </c>
      <c r="H45" s="177">
        <f>_xlfn.COMPOUNDVALUE(332)</f>
        <v>420</v>
      </c>
      <c r="I45" s="179">
        <v>4149967</v>
      </c>
      <c r="J45" s="177">
        <v>244</v>
      </c>
      <c r="K45" s="179">
        <v>51399</v>
      </c>
      <c r="L45" s="177">
        <v>4843</v>
      </c>
      <c r="M45" s="179">
        <v>20105092</v>
      </c>
      <c r="N45" s="74" t="s">
        <v>118</v>
      </c>
    </row>
    <row r="46" spans="1:14" ht="22.5" customHeight="1">
      <c r="A46" s="73" t="s">
        <v>205</v>
      </c>
      <c r="B46" s="177">
        <f>_xlfn.COMPOUNDVALUE(333)</f>
        <v>4655</v>
      </c>
      <c r="C46" s="178">
        <v>71662087</v>
      </c>
      <c r="D46" s="177">
        <f>_xlfn.COMPOUNDVALUE(334)</f>
        <v>1493</v>
      </c>
      <c r="E46" s="178">
        <v>957972</v>
      </c>
      <c r="F46" s="177">
        <f>_xlfn.COMPOUNDVALUE(335)</f>
        <v>6148</v>
      </c>
      <c r="G46" s="178">
        <v>72620059</v>
      </c>
      <c r="H46" s="177">
        <f>_xlfn.COMPOUNDVALUE(336)</f>
        <v>282</v>
      </c>
      <c r="I46" s="179">
        <v>48357723</v>
      </c>
      <c r="J46" s="177">
        <v>372</v>
      </c>
      <c r="K46" s="179">
        <v>115151</v>
      </c>
      <c r="L46" s="177">
        <v>6465</v>
      </c>
      <c r="M46" s="179">
        <v>24377487</v>
      </c>
      <c r="N46" s="74" t="s">
        <v>120</v>
      </c>
    </row>
    <row r="47" spans="1:14" ht="22.5" customHeight="1">
      <c r="A47" s="73" t="s">
        <v>206</v>
      </c>
      <c r="B47" s="177">
        <f>_xlfn.COMPOUNDVALUE(337)</f>
        <v>3756</v>
      </c>
      <c r="C47" s="178">
        <v>43286573</v>
      </c>
      <c r="D47" s="177">
        <f>_xlfn.COMPOUNDVALUE(338)</f>
        <v>1374</v>
      </c>
      <c r="E47" s="178">
        <v>814647</v>
      </c>
      <c r="F47" s="177">
        <f>_xlfn.COMPOUNDVALUE(339)</f>
        <v>5130</v>
      </c>
      <c r="G47" s="178">
        <v>44101221</v>
      </c>
      <c r="H47" s="177">
        <f>_xlfn.COMPOUNDVALUE(340)</f>
        <v>259</v>
      </c>
      <c r="I47" s="179">
        <v>280738486</v>
      </c>
      <c r="J47" s="177">
        <v>359</v>
      </c>
      <c r="K47" s="179">
        <v>69969</v>
      </c>
      <c r="L47" s="177">
        <v>5415</v>
      </c>
      <c r="M47" s="186">
        <v>-236567296</v>
      </c>
      <c r="N47" s="74" t="s">
        <v>122</v>
      </c>
    </row>
    <row r="48" spans="1:14" ht="22.5" customHeight="1">
      <c r="A48" s="73" t="s">
        <v>207</v>
      </c>
      <c r="B48" s="177">
        <f>_xlfn.COMPOUNDVALUE(341)</f>
        <v>1609</v>
      </c>
      <c r="C48" s="178">
        <v>12309658</v>
      </c>
      <c r="D48" s="177">
        <f>_xlfn.COMPOUNDVALUE(342)</f>
        <v>494</v>
      </c>
      <c r="E48" s="178">
        <v>307861</v>
      </c>
      <c r="F48" s="177">
        <f>_xlfn.COMPOUNDVALUE(343)</f>
        <v>2103</v>
      </c>
      <c r="G48" s="178">
        <v>12617519</v>
      </c>
      <c r="H48" s="177">
        <f>_xlfn.COMPOUNDVALUE(344)</f>
        <v>81</v>
      </c>
      <c r="I48" s="179">
        <v>1215607</v>
      </c>
      <c r="J48" s="177">
        <v>107</v>
      </c>
      <c r="K48" s="179">
        <v>30488</v>
      </c>
      <c r="L48" s="177">
        <v>2196</v>
      </c>
      <c r="M48" s="179">
        <v>11432400</v>
      </c>
      <c r="N48" s="74" t="s">
        <v>124</v>
      </c>
    </row>
    <row r="49" spans="1:14" ht="22.5" customHeight="1">
      <c r="A49" s="73" t="s">
        <v>208</v>
      </c>
      <c r="B49" s="177">
        <f>_xlfn.COMPOUNDVALUE(345)</f>
        <v>6588</v>
      </c>
      <c r="C49" s="178">
        <v>53145805</v>
      </c>
      <c r="D49" s="177">
        <f>_xlfn.COMPOUNDVALUE(346)</f>
        <v>2631</v>
      </c>
      <c r="E49" s="178">
        <v>1619469</v>
      </c>
      <c r="F49" s="177">
        <f>_xlfn.COMPOUNDVALUE(347)</f>
        <v>9219</v>
      </c>
      <c r="G49" s="178">
        <v>54765274</v>
      </c>
      <c r="H49" s="177">
        <f>_xlfn.COMPOUNDVALUE(348)</f>
        <v>423</v>
      </c>
      <c r="I49" s="179">
        <v>12729722</v>
      </c>
      <c r="J49" s="177">
        <v>525</v>
      </c>
      <c r="K49" s="179">
        <v>-34584</v>
      </c>
      <c r="L49" s="177">
        <v>9693</v>
      </c>
      <c r="M49" s="179">
        <v>42000968</v>
      </c>
      <c r="N49" s="74" t="s">
        <v>126</v>
      </c>
    </row>
    <row r="50" spans="1:14" ht="22.5" customHeight="1">
      <c r="A50" s="73" t="s">
        <v>209</v>
      </c>
      <c r="B50" s="177">
        <f>_xlfn.COMPOUNDVALUE(349)</f>
        <v>508</v>
      </c>
      <c r="C50" s="178">
        <v>2460362</v>
      </c>
      <c r="D50" s="177">
        <f>_xlfn.COMPOUNDVALUE(350)</f>
        <v>182</v>
      </c>
      <c r="E50" s="178">
        <v>104018</v>
      </c>
      <c r="F50" s="177">
        <f>_xlfn.COMPOUNDVALUE(351)</f>
        <v>690</v>
      </c>
      <c r="G50" s="178">
        <v>2564380</v>
      </c>
      <c r="H50" s="177">
        <f>_xlfn.COMPOUNDVALUE(352)</f>
        <v>31</v>
      </c>
      <c r="I50" s="179">
        <v>68316</v>
      </c>
      <c r="J50" s="177">
        <v>57</v>
      </c>
      <c r="K50" s="179">
        <v>7883</v>
      </c>
      <c r="L50" s="177">
        <v>724</v>
      </c>
      <c r="M50" s="179">
        <v>2503947</v>
      </c>
      <c r="N50" s="74" t="s">
        <v>128</v>
      </c>
    </row>
    <row r="51" spans="1:14" ht="22.5" customHeight="1">
      <c r="A51" s="75" t="s">
        <v>210</v>
      </c>
      <c r="B51" s="180">
        <v>81187</v>
      </c>
      <c r="C51" s="181">
        <v>932651899</v>
      </c>
      <c r="D51" s="180">
        <v>29614</v>
      </c>
      <c r="E51" s="181">
        <v>18293820</v>
      </c>
      <c r="F51" s="180">
        <v>110801</v>
      </c>
      <c r="G51" s="181">
        <v>950945719</v>
      </c>
      <c r="H51" s="180">
        <v>6799</v>
      </c>
      <c r="I51" s="182">
        <v>492642530</v>
      </c>
      <c r="J51" s="180">
        <v>7309</v>
      </c>
      <c r="K51" s="182">
        <v>1936134</v>
      </c>
      <c r="L51" s="180">
        <v>118299</v>
      </c>
      <c r="M51" s="182">
        <v>460239322</v>
      </c>
      <c r="N51" s="76" t="s">
        <v>130</v>
      </c>
    </row>
    <row r="52" spans="1:14" ht="22.5" customHeight="1">
      <c r="A52" s="77"/>
      <c r="B52" s="183"/>
      <c r="C52" s="184"/>
      <c r="D52" s="183"/>
      <c r="E52" s="184"/>
      <c r="F52" s="185"/>
      <c r="G52" s="184"/>
      <c r="H52" s="185"/>
      <c r="I52" s="184"/>
      <c r="J52" s="185"/>
      <c r="K52" s="184"/>
      <c r="L52" s="185"/>
      <c r="M52" s="184"/>
      <c r="N52" s="78"/>
    </row>
    <row r="53" spans="1:14" ht="22.5" customHeight="1">
      <c r="A53" s="70" t="s">
        <v>211</v>
      </c>
      <c r="B53" s="174">
        <f>_xlfn.COMPOUNDVALUE(353)</f>
        <v>2216</v>
      </c>
      <c r="C53" s="175">
        <v>17852353</v>
      </c>
      <c r="D53" s="174">
        <f>_xlfn.COMPOUNDVALUE(354)</f>
        <v>858</v>
      </c>
      <c r="E53" s="175">
        <v>527740</v>
      </c>
      <c r="F53" s="174">
        <f>_xlfn.COMPOUNDVALUE(355)</f>
        <v>3074</v>
      </c>
      <c r="G53" s="175">
        <v>18380093</v>
      </c>
      <c r="H53" s="174">
        <f>_xlfn.COMPOUNDVALUE(356)</f>
        <v>131</v>
      </c>
      <c r="I53" s="176">
        <v>1487207</v>
      </c>
      <c r="J53" s="174">
        <v>304</v>
      </c>
      <c r="K53" s="176">
        <v>-63206</v>
      </c>
      <c r="L53" s="174">
        <v>3229</v>
      </c>
      <c r="M53" s="176">
        <v>16829680</v>
      </c>
      <c r="N53" s="79" t="s">
        <v>132</v>
      </c>
    </row>
    <row r="54" spans="1:14" ht="22.5" customHeight="1">
      <c r="A54" s="73" t="s">
        <v>212</v>
      </c>
      <c r="B54" s="177">
        <f>_xlfn.COMPOUNDVALUE(357)</f>
        <v>3916</v>
      </c>
      <c r="C54" s="178">
        <v>34615371</v>
      </c>
      <c r="D54" s="177">
        <f>_xlfn.COMPOUNDVALUE(358)</f>
        <v>1400</v>
      </c>
      <c r="E54" s="178">
        <v>847438</v>
      </c>
      <c r="F54" s="177">
        <f>_xlfn.COMPOUNDVALUE(359)</f>
        <v>5316</v>
      </c>
      <c r="G54" s="178">
        <v>35462808</v>
      </c>
      <c r="H54" s="177">
        <f>_xlfn.COMPOUNDVALUE(360)</f>
        <v>254</v>
      </c>
      <c r="I54" s="179">
        <v>13979918</v>
      </c>
      <c r="J54" s="177">
        <v>397</v>
      </c>
      <c r="K54" s="179">
        <v>40044</v>
      </c>
      <c r="L54" s="177">
        <v>5599</v>
      </c>
      <c r="M54" s="179">
        <v>21522935</v>
      </c>
      <c r="N54" s="74" t="s">
        <v>134</v>
      </c>
    </row>
    <row r="55" spans="1:14" ht="22.5" customHeight="1">
      <c r="A55" s="73" t="s">
        <v>213</v>
      </c>
      <c r="B55" s="177">
        <f>_xlfn.COMPOUNDVALUE(361)</f>
        <v>2302</v>
      </c>
      <c r="C55" s="178">
        <v>12142027</v>
      </c>
      <c r="D55" s="177">
        <f>_xlfn.COMPOUNDVALUE(362)</f>
        <v>815</v>
      </c>
      <c r="E55" s="178">
        <v>458651</v>
      </c>
      <c r="F55" s="177">
        <f>_xlfn.COMPOUNDVALUE(363)</f>
        <v>3117</v>
      </c>
      <c r="G55" s="178">
        <v>12600678</v>
      </c>
      <c r="H55" s="177">
        <f>_xlfn.COMPOUNDVALUE(364)</f>
        <v>165</v>
      </c>
      <c r="I55" s="179">
        <v>1639343</v>
      </c>
      <c r="J55" s="177">
        <v>215</v>
      </c>
      <c r="K55" s="179">
        <v>17199</v>
      </c>
      <c r="L55" s="177">
        <v>3305</v>
      </c>
      <c r="M55" s="179">
        <v>10978533</v>
      </c>
      <c r="N55" s="74" t="s">
        <v>136</v>
      </c>
    </row>
    <row r="56" spans="1:14" ht="22.5" customHeight="1">
      <c r="A56" s="73" t="s">
        <v>214</v>
      </c>
      <c r="B56" s="177">
        <f>_xlfn.COMPOUNDVALUE(365)</f>
        <v>1777</v>
      </c>
      <c r="C56" s="178">
        <v>12583002</v>
      </c>
      <c r="D56" s="177">
        <f>_xlfn.COMPOUNDVALUE(366)</f>
        <v>600</v>
      </c>
      <c r="E56" s="178">
        <v>366325</v>
      </c>
      <c r="F56" s="177">
        <f>_xlfn.COMPOUNDVALUE(367)</f>
        <v>2377</v>
      </c>
      <c r="G56" s="178">
        <v>12949328</v>
      </c>
      <c r="H56" s="177">
        <f>_xlfn.COMPOUNDVALUE(368)</f>
        <v>175</v>
      </c>
      <c r="I56" s="179">
        <v>4579863</v>
      </c>
      <c r="J56" s="177">
        <v>146</v>
      </c>
      <c r="K56" s="179">
        <v>-118268</v>
      </c>
      <c r="L56" s="177">
        <v>2565</v>
      </c>
      <c r="M56" s="179">
        <v>8251197</v>
      </c>
      <c r="N56" s="74" t="s">
        <v>138</v>
      </c>
    </row>
    <row r="57" spans="1:14" ht="22.5" customHeight="1">
      <c r="A57" s="73" t="s">
        <v>215</v>
      </c>
      <c r="B57" s="177">
        <f>_xlfn.COMPOUNDVALUE(369)</f>
        <v>1932</v>
      </c>
      <c r="C57" s="178">
        <v>15550118</v>
      </c>
      <c r="D57" s="177">
        <f>_xlfn.COMPOUNDVALUE(370)</f>
        <v>760</v>
      </c>
      <c r="E57" s="178">
        <v>449496</v>
      </c>
      <c r="F57" s="177">
        <f>_xlfn.COMPOUNDVALUE(371)</f>
        <v>2692</v>
      </c>
      <c r="G57" s="178">
        <v>15999614</v>
      </c>
      <c r="H57" s="177">
        <f>_xlfn.COMPOUNDVALUE(372)</f>
        <v>132</v>
      </c>
      <c r="I57" s="179">
        <v>310016</v>
      </c>
      <c r="J57" s="177">
        <v>150</v>
      </c>
      <c r="K57" s="179">
        <v>27276</v>
      </c>
      <c r="L57" s="177">
        <v>2844</v>
      </c>
      <c r="M57" s="179">
        <v>15716874</v>
      </c>
      <c r="N57" s="74" t="s">
        <v>140</v>
      </c>
    </row>
    <row r="58" spans="1:14" ht="22.5" customHeight="1">
      <c r="A58" s="73" t="s">
        <v>216</v>
      </c>
      <c r="B58" s="177">
        <f>_xlfn.COMPOUNDVALUE(373)</f>
        <v>1227</v>
      </c>
      <c r="C58" s="178">
        <v>8157903</v>
      </c>
      <c r="D58" s="177">
        <f>_xlfn.COMPOUNDVALUE(374)</f>
        <v>401</v>
      </c>
      <c r="E58" s="178">
        <v>226104</v>
      </c>
      <c r="F58" s="177">
        <f>_xlfn.COMPOUNDVALUE(375)</f>
        <v>1628</v>
      </c>
      <c r="G58" s="178">
        <v>8384007</v>
      </c>
      <c r="H58" s="177">
        <f>_xlfn.COMPOUNDVALUE(376)</f>
        <v>69</v>
      </c>
      <c r="I58" s="179">
        <v>260070</v>
      </c>
      <c r="J58" s="177">
        <v>137</v>
      </c>
      <c r="K58" s="179">
        <v>12093</v>
      </c>
      <c r="L58" s="177">
        <v>1719</v>
      </c>
      <c r="M58" s="179">
        <v>8136031</v>
      </c>
      <c r="N58" s="74" t="s">
        <v>142</v>
      </c>
    </row>
    <row r="59" spans="1:14" ht="22.5" customHeight="1">
      <c r="A59" s="73" t="s">
        <v>217</v>
      </c>
      <c r="B59" s="177">
        <f>_xlfn.COMPOUNDVALUE(377)</f>
        <v>1916</v>
      </c>
      <c r="C59" s="178">
        <v>12053618</v>
      </c>
      <c r="D59" s="177">
        <f>_xlfn.COMPOUNDVALUE(378)</f>
        <v>640</v>
      </c>
      <c r="E59" s="178">
        <v>472540</v>
      </c>
      <c r="F59" s="177">
        <f>_xlfn.COMPOUNDVALUE(379)</f>
        <v>2556</v>
      </c>
      <c r="G59" s="178">
        <v>12526158</v>
      </c>
      <c r="H59" s="177">
        <f>_xlfn.COMPOUNDVALUE(380)</f>
        <v>119</v>
      </c>
      <c r="I59" s="179">
        <v>466175</v>
      </c>
      <c r="J59" s="177">
        <v>225</v>
      </c>
      <c r="K59" s="179">
        <v>49983</v>
      </c>
      <c r="L59" s="177">
        <v>2734</v>
      </c>
      <c r="M59" s="179">
        <v>12109966</v>
      </c>
      <c r="N59" s="74" t="s">
        <v>144</v>
      </c>
    </row>
    <row r="60" spans="1:14" ht="22.5" customHeight="1">
      <c r="A60" s="73" t="s">
        <v>218</v>
      </c>
      <c r="B60" s="177">
        <f>_xlfn.COMPOUNDVALUE(381)</f>
        <v>609</v>
      </c>
      <c r="C60" s="178">
        <v>2844700</v>
      </c>
      <c r="D60" s="177">
        <f>_xlfn.COMPOUNDVALUE(382)</f>
        <v>179</v>
      </c>
      <c r="E60" s="178">
        <v>106071</v>
      </c>
      <c r="F60" s="177">
        <f>_xlfn.COMPOUNDVALUE(383)</f>
        <v>788</v>
      </c>
      <c r="G60" s="178">
        <v>2950770</v>
      </c>
      <c r="H60" s="177">
        <f>_xlfn.COMPOUNDVALUE(384)</f>
        <v>28</v>
      </c>
      <c r="I60" s="179">
        <v>82063</v>
      </c>
      <c r="J60" s="177">
        <v>74</v>
      </c>
      <c r="K60" s="179">
        <v>8998</v>
      </c>
      <c r="L60" s="177">
        <v>822</v>
      </c>
      <c r="M60" s="179">
        <v>2877705</v>
      </c>
      <c r="N60" s="74" t="s">
        <v>146</v>
      </c>
    </row>
    <row r="61" spans="1:14" ht="22.5" customHeight="1">
      <c r="A61" s="75" t="s">
        <v>219</v>
      </c>
      <c r="B61" s="180">
        <v>15895</v>
      </c>
      <c r="C61" s="181">
        <v>115799092</v>
      </c>
      <c r="D61" s="180">
        <v>5653</v>
      </c>
      <c r="E61" s="181">
        <v>3454364</v>
      </c>
      <c r="F61" s="180">
        <v>21548</v>
      </c>
      <c r="G61" s="181">
        <v>119253457</v>
      </c>
      <c r="H61" s="180">
        <v>1073</v>
      </c>
      <c r="I61" s="182">
        <v>22804655</v>
      </c>
      <c r="J61" s="180">
        <v>1648</v>
      </c>
      <c r="K61" s="182">
        <v>-25880</v>
      </c>
      <c r="L61" s="180">
        <v>22817</v>
      </c>
      <c r="M61" s="182">
        <v>96422922</v>
      </c>
      <c r="N61" s="76" t="s">
        <v>148</v>
      </c>
    </row>
    <row r="62" spans="1:14" ht="22.5" customHeight="1" thickBot="1">
      <c r="A62" s="80"/>
      <c r="B62" s="187"/>
      <c r="C62" s="188"/>
      <c r="D62" s="187"/>
      <c r="E62" s="188"/>
      <c r="F62" s="189"/>
      <c r="G62" s="188"/>
      <c r="H62" s="189"/>
      <c r="I62" s="188"/>
      <c r="J62" s="189"/>
      <c r="K62" s="188"/>
      <c r="L62" s="189"/>
      <c r="M62" s="188"/>
      <c r="N62" s="81"/>
    </row>
    <row r="63" spans="1:14" ht="22.5" customHeight="1" thickBot="1" thickTop="1">
      <c r="A63" s="82" t="s">
        <v>220</v>
      </c>
      <c r="B63" s="190">
        <v>155265</v>
      </c>
      <c r="C63" s="191">
        <v>1482766413</v>
      </c>
      <c r="D63" s="190">
        <v>59320</v>
      </c>
      <c r="E63" s="191">
        <v>35793215</v>
      </c>
      <c r="F63" s="190">
        <v>214585</v>
      </c>
      <c r="G63" s="191">
        <v>1518559627</v>
      </c>
      <c r="H63" s="190">
        <v>11672</v>
      </c>
      <c r="I63" s="192">
        <v>581475508</v>
      </c>
      <c r="J63" s="190">
        <v>14339</v>
      </c>
      <c r="K63" s="192">
        <v>2592852</v>
      </c>
      <c r="L63" s="190">
        <v>227665</v>
      </c>
      <c r="M63" s="192">
        <v>939676972</v>
      </c>
      <c r="N63" s="83" t="s">
        <v>43</v>
      </c>
    </row>
    <row r="64" spans="1:14" s="193" customFormat="1" ht="3" customHeight="1">
      <c r="A64" s="118"/>
      <c r="B64" s="119"/>
      <c r="C64" s="119"/>
      <c r="D64" s="119"/>
      <c r="E64" s="119"/>
      <c r="F64" s="119"/>
      <c r="G64" s="119"/>
      <c r="H64" s="119"/>
      <c r="I64" s="119"/>
      <c r="J64" s="119"/>
      <c r="K64" s="119"/>
      <c r="L64" s="119"/>
      <c r="M64" s="119"/>
      <c r="N64" s="118"/>
    </row>
    <row r="65" spans="1:14" ht="22.5" customHeight="1">
      <c r="A65" s="249" t="s">
        <v>226</v>
      </c>
      <c r="B65" s="249"/>
      <c r="C65" s="249"/>
      <c r="D65" s="249"/>
      <c r="E65" s="249"/>
      <c r="F65" s="249"/>
      <c r="G65" s="249"/>
      <c r="H65" s="249"/>
      <c r="I65" s="249"/>
      <c r="J65" s="60"/>
      <c r="K65" s="60"/>
      <c r="L65" s="61"/>
      <c r="M65" s="61"/>
      <c r="N65" s="61"/>
    </row>
  </sheetData>
  <sheetProtection/>
  <mergeCells count="11">
    <mergeCell ref="A2:I2"/>
    <mergeCell ref="A3:A5"/>
    <mergeCell ref="B3:G3"/>
    <mergeCell ref="H3:I4"/>
    <mergeCell ref="J3:K4"/>
    <mergeCell ref="L3:M4"/>
    <mergeCell ref="N3:N5"/>
    <mergeCell ref="B4:C4"/>
    <mergeCell ref="D4:E4"/>
    <mergeCell ref="F4:G4"/>
    <mergeCell ref="A65:I65"/>
  </mergeCells>
  <printOptions horizontalCentered="1"/>
  <pageMargins left="0.5118110236220472" right="0.5118110236220472" top="0.7480314960629921" bottom="0.7480314960629921" header="0.31496062992125984" footer="0.31496062992125984"/>
  <pageSetup horizontalDpi="600" verticalDpi="600" orientation="portrait" paperSize="9" scale="55" r:id="rId1"/>
  <headerFooter alignWithMargins="0">
    <oddFooter>&amp;R名古屋国税局　消費税（H28）</oddFooter>
  </headerFooter>
</worksheet>
</file>

<file path=xl/worksheets/sheet6.xml><?xml version="1.0" encoding="utf-8"?>
<worksheet xmlns="http://schemas.openxmlformats.org/spreadsheetml/2006/main" xmlns:r="http://schemas.openxmlformats.org/officeDocument/2006/relationships">
  <dimension ref="A1:R64"/>
  <sheetViews>
    <sheetView zoomScale="70" zoomScaleNormal="70" zoomScaleSheetLayoutView="100" workbookViewId="0" topLeftCell="A1">
      <selection activeCell="A1" sqref="A1"/>
    </sheetView>
  </sheetViews>
  <sheetFormatPr defaultColWidth="9.00390625" defaultRowHeight="13.5"/>
  <cols>
    <col min="1" max="1" width="10.00390625" style="84" customWidth="1"/>
    <col min="2" max="2" width="10.625" style="84" customWidth="1"/>
    <col min="3" max="3" width="12.625" style="84" customWidth="1"/>
    <col min="4" max="4" width="10.625" style="84" customWidth="1"/>
    <col min="5" max="5" width="12.625" style="84" customWidth="1"/>
    <col min="6" max="6" width="10.625" style="84" customWidth="1"/>
    <col min="7" max="7" width="12.625" style="84" customWidth="1"/>
    <col min="8" max="8" width="10.625" style="84" customWidth="1"/>
    <col min="9" max="9" width="12.625" style="84" customWidth="1"/>
    <col min="10" max="10" width="10.625" style="84" customWidth="1"/>
    <col min="11" max="11" width="12.625" style="84" customWidth="1"/>
    <col min="12" max="12" width="10.625" style="84" customWidth="1"/>
    <col min="13" max="13" width="12.625" style="84" customWidth="1"/>
    <col min="14" max="17" width="10.625" style="84" customWidth="1"/>
    <col min="18" max="18" width="10.00390625" style="84" customWidth="1"/>
    <col min="19" max="16384" width="9.00390625" style="84" customWidth="1"/>
  </cols>
  <sheetData>
    <row r="1" spans="1:16" ht="12">
      <c r="A1" s="60" t="s">
        <v>234</v>
      </c>
      <c r="B1" s="60"/>
      <c r="C1" s="60"/>
      <c r="D1" s="60"/>
      <c r="E1" s="60"/>
      <c r="F1" s="60"/>
      <c r="G1" s="60"/>
      <c r="H1" s="60"/>
      <c r="I1" s="60"/>
      <c r="J1" s="60"/>
      <c r="K1" s="60"/>
      <c r="L1" s="61"/>
      <c r="M1" s="61"/>
      <c r="N1" s="61"/>
      <c r="O1" s="61"/>
      <c r="P1" s="61"/>
    </row>
    <row r="2" spans="1:16" ht="12.75" thickBot="1">
      <c r="A2" s="258" t="s">
        <v>151</v>
      </c>
      <c r="B2" s="258"/>
      <c r="C2" s="258"/>
      <c r="D2" s="258"/>
      <c r="E2" s="258"/>
      <c r="F2" s="258"/>
      <c r="G2" s="258"/>
      <c r="H2" s="258"/>
      <c r="I2" s="258"/>
      <c r="J2" s="60"/>
      <c r="K2" s="60"/>
      <c r="L2" s="61"/>
      <c r="M2" s="61"/>
      <c r="N2" s="61"/>
      <c r="O2" s="61"/>
      <c r="P2" s="61"/>
    </row>
    <row r="3" spans="1:18" ht="23.25" customHeight="1">
      <c r="A3" s="250" t="s">
        <v>154</v>
      </c>
      <c r="B3" s="253" t="s">
        <v>155</v>
      </c>
      <c r="C3" s="253"/>
      <c r="D3" s="253"/>
      <c r="E3" s="253"/>
      <c r="F3" s="253"/>
      <c r="G3" s="253"/>
      <c r="H3" s="259" t="s">
        <v>13</v>
      </c>
      <c r="I3" s="259"/>
      <c r="J3" s="260" t="s">
        <v>37</v>
      </c>
      <c r="K3" s="259"/>
      <c r="L3" s="253" t="s">
        <v>38</v>
      </c>
      <c r="M3" s="253"/>
      <c r="N3" s="262" t="s">
        <v>159</v>
      </c>
      <c r="O3" s="263"/>
      <c r="P3" s="263"/>
      <c r="Q3" s="263"/>
      <c r="R3" s="242" t="s">
        <v>150</v>
      </c>
    </row>
    <row r="4" spans="1:18" ht="23.25" customHeight="1">
      <c r="A4" s="251"/>
      <c r="B4" s="245" t="s">
        <v>18</v>
      </c>
      <c r="C4" s="245"/>
      <c r="D4" s="245" t="s">
        <v>40</v>
      </c>
      <c r="E4" s="245"/>
      <c r="F4" s="261" t="s">
        <v>41</v>
      </c>
      <c r="G4" s="261"/>
      <c r="H4" s="245"/>
      <c r="I4" s="245"/>
      <c r="J4" s="245"/>
      <c r="K4" s="245"/>
      <c r="L4" s="261"/>
      <c r="M4" s="261"/>
      <c r="N4" s="264" t="s">
        <v>152</v>
      </c>
      <c r="O4" s="266" t="s">
        <v>160</v>
      </c>
      <c r="P4" s="268" t="s">
        <v>161</v>
      </c>
      <c r="Q4" s="241" t="s">
        <v>153</v>
      </c>
      <c r="R4" s="243"/>
    </row>
    <row r="5" spans="1:18" ht="30" customHeight="1">
      <c r="A5" s="252"/>
      <c r="B5" s="199" t="s">
        <v>224</v>
      </c>
      <c r="C5" s="108" t="s">
        <v>156</v>
      </c>
      <c r="D5" s="63" t="s">
        <v>224</v>
      </c>
      <c r="E5" s="108" t="s">
        <v>156</v>
      </c>
      <c r="F5" s="63" t="s">
        <v>224</v>
      </c>
      <c r="G5" s="109" t="s">
        <v>221</v>
      </c>
      <c r="H5" s="198" t="s">
        <v>224</v>
      </c>
      <c r="I5" s="63" t="s">
        <v>222</v>
      </c>
      <c r="J5" s="199" t="s">
        <v>224</v>
      </c>
      <c r="K5" s="109" t="s">
        <v>223</v>
      </c>
      <c r="L5" s="198" t="s">
        <v>224</v>
      </c>
      <c r="M5" s="109" t="s">
        <v>162</v>
      </c>
      <c r="N5" s="265"/>
      <c r="O5" s="267"/>
      <c r="P5" s="269"/>
      <c r="Q5" s="270"/>
      <c r="R5" s="244"/>
    </row>
    <row r="6" spans="1:18" s="92" customFormat="1" ht="12">
      <c r="A6" s="86"/>
      <c r="B6" s="87" t="s">
        <v>4</v>
      </c>
      <c r="C6" s="88" t="s">
        <v>5</v>
      </c>
      <c r="D6" s="87" t="s">
        <v>4</v>
      </c>
      <c r="E6" s="88" t="s">
        <v>5</v>
      </c>
      <c r="F6" s="87" t="s">
        <v>4</v>
      </c>
      <c r="G6" s="88" t="s">
        <v>5</v>
      </c>
      <c r="H6" s="87" t="s">
        <v>4</v>
      </c>
      <c r="I6" s="88" t="s">
        <v>5</v>
      </c>
      <c r="J6" s="87" t="s">
        <v>4</v>
      </c>
      <c r="K6" s="88" t="s">
        <v>5</v>
      </c>
      <c r="L6" s="87" t="s">
        <v>232</v>
      </c>
      <c r="M6" s="88" t="s">
        <v>5</v>
      </c>
      <c r="N6" s="87" t="s">
        <v>4</v>
      </c>
      <c r="O6" s="89" t="s">
        <v>4</v>
      </c>
      <c r="P6" s="89" t="s">
        <v>4</v>
      </c>
      <c r="Q6" s="90" t="s">
        <v>4</v>
      </c>
      <c r="R6" s="91"/>
    </row>
    <row r="7" spans="1:18" ht="25.5" customHeight="1">
      <c r="A7" s="93" t="s">
        <v>45</v>
      </c>
      <c r="B7" s="140">
        <f>_xlfn.COMPOUNDVALUE(385)</f>
        <v>6675</v>
      </c>
      <c r="C7" s="141">
        <v>32129873</v>
      </c>
      <c r="D7" s="140">
        <f>_xlfn.COMPOUNDVALUE(386)</f>
        <v>4259</v>
      </c>
      <c r="E7" s="141">
        <v>2061295</v>
      </c>
      <c r="F7" s="140">
        <f>_xlfn.COMPOUNDVALUE(387)</f>
        <v>10934</v>
      </c>
      <c r="G7" s="141">
        <v>34191168</v>
      </c>
      <c r="H7" s="140">
        <f>_xlfn.COMPOUNDVALUE(388)</f>
        <v>432</v>
      </c>
      <c r="I7" s="142">
        <v>1323012</v>
      </c>
      <c r="J7" s="140">
        <v>855</v>
      </c>
      <c r="K7" s="142">
        <v>43498</v>
      </c>
      <c r="L7" s="140">
        <v>11558</v>
      </c>
      <c r="M7" s="142">
        <v>32911654</v>
      </c>
      <c r="N7" s="140">
        <v>11229</v>
      </c>
      <c r="O7" s="143">
        <v>242</v>
      </c>
      <c r="P7" s="143">
        <v>36</v>
      </c>
      <c r="Q7" s="144">
        <v>11507</v>
      </c>
      <c r="R7" s="94" t="s">
        <v>46</v>
      </c>
    </row>
    <row r="8" spans="1:18" ht="25.5" customHeight="1">
      <c r="A8" s="95" t="s">
        <v>47</v>
      </c>
      <c r="B8" s="145">
        <f>_xlfn.COMPOUNDVALUE(389)</f>
        <v>6044</v>
      </c>
      <c r="C8" s="146">
        <v>34393489</v>
      </c>
      <c r="D8" s="145">
        <f>_xlfn.COMPOUNDVALUE(390)</f>
        <v>3531</v>
      </c>
      <c r="E8" s="146">
        <v>1819632</v>
      </c>
      <c r="F8" s="145">
        <f>_xlfn.COMPOUNDVALUE(391)</f>
        <v>9575</v>
      </c>
      <c r="G8" s="146">
        <v>36213120</v>
      </c>
      <c r="H8" s="145">
        <f>_xlfn.COMPOUNDVALUE(392)</f>
        <v>379</v>
      </c>
      <c r="I8" s="147">
        <v>1360094</v>
      </c>
      <c r="J8" s="145">
        <v>602</v>
      </c>
      <c r="K8" s="147">
        <v>6658</v>
      </c>
      <c r="L8" s="145">
        <v>10091</v>
      </c>
      <c r="M8" s="147">
        <v>34859685</v>
      </c>
      <c r="N8" s="140">
        <v>9863</v>
      </c>
      <c r="O8" s="143">
        <v>209</v>
      </c>
      <c r="P8" s="143">
        <v>35</v>
      </c>
      <c r="Q8" s="144">
        <v>10107</v>
      </c>
      <c r="R8" s="96" t="s">
        <v>48</v>
      </c>
    </row>
    <row r="9" spans="1:18" ht="25.5" customHeight="1">
      <c r="A9" s="95" t="s">
        <v>49</v>
      </c>
      <c r="B9" s="145">
        <f>_xlfn.COMPOUNDVALUE(393)</f>
        <v>5143</v>
      </c>
      <c r="C9" s="146">
        <v>36727191</v>
      </c>
      <c r="D9" s="145">
        <f>_xlfn.COMPOUNDVALUE(394)</f>
        <v>3502</v>
      </c>
      <c r="E9" s="146">
        <v>1604989</v>
      </c>
      <c r="F9" s="145">
        <f>_xlfn.COMPOUNDVALUE(395)</f>
        <v>8645</v>
      </c>
      <c r="G9" s="146">
        <v>38332180</v>
      </c>
      <c r="H9" s="145">
        <f>_xlfn.COMPOUNDVALUE(396)</f>
        <v>411</v>
      </c>
      <c r="I9" s="147">
        <v>5323581</v>
      </c>
      <c r="J9" s="145">
        <v>493</v>
      </c>
      <c r="K9" s="147">
        <v>74975</v>
      </c>
      <c r="L9" s="145">
        <v>9152</v>
      </c>
      <c r="M9" s="147">
        <v>33083574</v>
      </c>
      <c r="N9" s="140">
        <v>8736</v>
      </c>
      <c r="O9" s="143">
        <v>250</v>
      </c>
      <c r="P9" s="143">
        <v>20</v>
      </c>
      <c r="Q9" s="144">
        <v>9006</v>
      </c>
      <c r="R9" s="96" t="s">
        <v>50</v>
      </c>
    </row>
    <row r="10" spans="1:18" ht="25.5" customHeight="1">
      <c r="A10" s="95" t="s">
        <v>51</v>
      </c>
      <c r="B10" s="145">
        <f>_xlfn.COMPOUNDVALUE(397)</f>
        <v>2662</v>
      </c>
      <c r="C10" s="146">
        <v>10725814</v>
      </c>
      <c r="D10" s="145">
        <f>_xlfn.COMPOUNDVALUE(398)</f>
        <v>2208</v>
      </c>
      <c r="E10" s="146">
        <v>994864</v>
      </c>
      <c r="F10" s="145">
        <f>_xlfn.COMPOUNDVALUE(399)</f>
        <v>4870</v>
      </c>
      <c r="G10" s="146">
        <v>11720677</v>
      </c>
      <c r="H10" s="145">
        <f>_xlfn.COMPOUNDVALUE(400)</f>
        <v>141</v>
      </c>
      <c r="I10" s="147">
        <v>625442</v>
      </c>
      <c r="J10" s="145">
        <v>354</v>
      </c>
      <c r="K10" s="147">
        <v>20778</v>
      </c>
      <c r="L10" s="145">
        <v>5044</v>
      </c>
      <c r="M10" s="147">
        <v>11116014</v>
      </c>
      <c r="N10" s="140">
        <v>4946</v>
      </c>
      <c r="O10" s="143">
        <v>133</v>
      </c>
      <c r="P10" s="143">
        <v>13</v>
      </c>
      <c r="Q10" s="144">
        <v>5092</v>
      </c>
      <c r="R10" s="96" t="s">
        <v>52</v>
      </c>
    </row>
    <row r="11" spans="1:18" ht="25.5" customHeight="1">
      <c r="A11" s="95" t="s">
        <v>53</v>
      </c>
      <c r="B11" s="145">
        <f>_xlfn.COMPOUNDVALUE(401)</f>
        <v>3968</v>
      </c>
      <c r="C11" s="146">
        <v>21869458</v>
      </c>
      <c r="D11" s="145">
        <f>_xlfn.COMPOUNDVALUE(402)</f>
        <v>3242</v>
      </c>
      <c r="E11" s="146">
        <v>1521959</v>
      </c>
      <c r="F11" s="145">
        <f>_xlfn.COMPOUNDVALUE(403)</f>
        <v>7210</v>
      </c>
      <c r="G11" s="146">
        <v>23391417</v>
      </c>
      <c r="H11" s="145">
        <f>_xlfn.COMPOUNDVALUE(404)</f>
        <v>341</v>
      </c>
      <c r="I11" s="147">
        <v>610602</v>
      </c>
      <c r="J11" s="145">
        <v>456</v>
      </c>
      <c r="K11" s="147">
        <v>27678</v>
      </c>
      <c r="L11" s="145">
        <v>7646</v>
      </c>
      <c r="M11" s="147">
        <v>22808494</v>
      </c>
      <c r="N11" s="140">
        <v>7415</v>
      </c>
      <c r="O11" s="143">
        <v>179</v>
      </c>
      <c r="P11" s="143">
        <v>23</v>
      </c>
      <c r="Q11" s="144">
        <v>7617</v>
      </c>
      <c r="R11" s="96" t="s">
        <v>54</v>
      </c>
    </row>
    <row r="12" spans="1:18" ht="25.5" customHeight="1">
      <c r="A12" s="95" t="s">
        <v>55</v>
      </c>
      <c r="B12" s="145">
        <f>_xlfn.COMPOUNDVALUE(405)</f>
        <v>4142</v>
      </c>
      <c r="C12" s="146">
        <v>19064678</v>
      </c>
      <c r="D12" s="145">
        <f>_xlfn.COMPOUNDVALUE(406)</f>
        <v>2893</v>
      </c>
      <c r="E12" s="146">
        <v>1317364</v>
      </c>
      <c r="F12" s="145">
        <f>_xlfn.COMPOUNDVALUE(407)</f>
        <v>7035</v>
      </c>
      <c r="G12" s="146">
        <v>20382043</v>
      </c>
      <c r="H12" s="145">
        <f>_xlfn.COMPOUNDVALUE(408)</f>
        <v>290</v>
      </c>
      <c r="I12" s="147">
        <v>866205</v>
      </c>
      <c r="J12" s="145">
        <v>381</v>
      </c>
      <c r="K12" s="147">
        <v>22744</v>
      </c>
      <c r="L12" s="145">
        <v>7402</v>
      </c>
      <c r="M12" s="147">
        <v>19538581</v>
      </c>
      <c r="N12" s="140">
        <v>7074</v>
      </c>
      <c r="O12" s="143">
        <v>161</v>
      </c>
      <c r="P12" s="143">
        <v>19</v>
      </c>
      <c r="Q12" s="144">
        <v>7254</v>
      </c>
      <c r="R12" s="96" t="s">
        <v>56</v>
      </c>
    </row>
    <row r="13" spans="1:18" ht="25.5" customHeight="1">
      <c r="A13" s="95" t="s">
        <v>57</v>
      </c>
      <c r="B13" s="145">
        <f>_xlfn.COMPOUNDVALUE(409)</f>
        <v>1716</v>
      </c>
      <c r="C13" s="146">
        <v>9900810</v>
      </c>
      <c r="D13" s="145">
        <f>_xlfn.COMPOUNDVALUE(410)</f>
        <v>1363</v>
      </c>
      <c r="E13" s="146">
        <v>622267</v>
      </c>
      <c r="F13" s="145">
        <f>_xlfn.COMPOUNDVALUE(411)</f>
        <v>3079</v>
      </c>
      <c r="G13" s="146">
        <v>10523077</v>
      </c>
      <c r="H13" s="145">
        <f>_xlfn.COMPOUNDVALUE(412)</f>
        <v>108</v>
      </c>
      <c r="I13" s="147">
        <v>227756</v>
      </c>
      <c r="J13" s="145">
        <v>219</v>
      </c>
      <c r="K13" s="147">
        <v>17324</v>
      </c>
      <c r="L13" s="145">
        <v>3233</v>
      </c>
      <c r="M13" s="147">
        <v>10312646</v>
      </c>
      <c r="N13" s="140">
        <v>3117</v>
      </c>
      <c r="O13" s="143">
        <v>78</v>
      </c>
      <c r="P13" s="143">
        <v>10</v>
      </c>
      <c r="Q13" s="144">
        <v>3205</v>
      </c>
      <c r="R13" s="96" t="s">
        <v>58</v>
      </c>
    </row>
    <row r="14" spans="1:18" ht="25.5" customHeight="1">
      <c r="A14" s="97" t="s">
        <v>59</v>
      </c>
      <c r="B14" s="148">
        <v>30350</v>
      </c>
      <c r="C14" s="149">
        <v>164811313</v>
      </c>
      <c r="D14" s="148">
        <v>20998</v>
      </c>
      <c r="E14" s="149">
        <v>9942369</v>
      </c>
      <c r="F14" s="148">
        <v>51348</v>
      </c>
      <c r="G14" s="149">
        <v>174753682</v>
      </c>
      <c r="H14" s="148">
        <v>2102</v>
      </c>
      <c r="I14" s="150">
        <v>10336691</v>
      </c>
      <c r="J14" s="148">
        <v>3360</v>
      </c>
      <c r="K14" s="150">
        <v>213657</v>
      </c>
      <c r="L14" s="148">
        <v>54126</v>
      </c>
      <c r="M14" s="150">
        <v>164630648</v>
      </c>
      <c r="N14" s="148">
        <v>52380</v>
      </c>
      <c r="O14" s="151">
        <v>1252</v>
      </c>
      <c r="P14" s="151">
        <v>156</v>
      </c>
      <c r="Q14" s="152">
        <v>53788</v>
      </c>
      <c r="R14" s="98" t="s">
        <v>60</v>
      </c>
    </row>
    <row r="15" spans="1:18" ht="25.5" customHeight="1">
      <c r="A15" s="99"/>
      <c r="B15" s="153"/>
      <c r="C15" s="154"/>
      <c r="D15" s="153"/>
      <c r="E15" s="154"/>
      <c r="F15" s="155"/>
      <c r="G15" s="154"/>
      <c r="H15" s="155"/>
      <c r="I15" s="154"/>
      <c r="J15" s="155"/>
      <c r="K15" s="154"/>
      <c r="L15" s="155"/>
      <c r="M15" s="154"/>
      <c r="N15" s="156"/>
      <c r="O15" s="157"/>
      <c r="P15" s="157"/>
      <c r="Q15" s="158"/>
      <c r="R15" s="100" t="s">
        <v>44</v>
      </c>
    </row>
    <row r="16" spans="1:18" ht="25.5" customHeight="1">
      <c r="A16" s="93" t="s">
        <v>61</v>
      </c>
      <c r="B16" s="140">
        <f>_xlfn.COMPOUNDVALUE(413)</f>
        <v>7329</v>
      </c>
      <c r="C16" s="141">
        <v>52725897</v>
      </c>
      <c r="D16" s="140">
        <f>_xlfn.COMPOUNDVALUE(414)</f>
        <v>5721</v>
      </c>
      <c r="E16" s="141">
        <v>2854618</v>
      </c>
      <c r="F16" s="140">
        <f>_xlfn.COMPOUNDVALUE(415)</f>
        <v>13050</v>
      </c>
      <c r="G16" s="141">
        <v>55580515</v>
      </c>
      <c r="H16" s="140">
        <f>_xlfn.COMPOUNDVALUE(416)</f>
        <v>465</v>
      </c>
      <c r="I16" s="142">
        <v>2782130</v>
      </c>
      <c r="J16" s="140">
        <v>870</v>
      </c>
      <c r="K16" s="142">
        <v>167737</v>
      </c>
      <c r="L16" s="140">
        <v>13712</v>
      </c>
      <c r="M16" s="142">
        <v>52966121</v>
      </c>
      <c r="N16" s="140">
        <v>13240</v>
      </c>
      <c r="O16" s="143">
        <v>311</v>
      </c>
      <c r="P16" s="143">
        <v>33</v>
      </c>
      <c r="Q16" s="144">
        <v>13584</v>
      </c>
      <c r="R16" s="96" t="s">
        <v>62</v>
      </c>
    </row>
    <row r="17" spans="1:18" ht="25.5" customHeight="1">
      <c r="A17" s="93" t="s">
        <v>63</v>
      </c>
      <c r="B17" s="140">
        <f>_xlfn.COMPOUNDVALUE(417)</f>
        <v>3327</v>
      </c>
      <c r="C17" s="141">
        <v>20588748</v>
      </c>
      <c r="D17" s="140">
        <f>_xlfn.COMPOUNDVALUE(418)</f>
        <v>2725</v>
      </c>
      <c r="E17" s="141">
        <v>1237499</v>
      </c>
      <c r="F17" s="140">
        <f>_xlfn.COMPOUNDVALUE(419)</f>
        <v>6052</v>
      </c>
      <c r="G17" s="141">
        <v>21826246</v>
      </c>
      <c r="H17" s="140">
        <f>_xlfn.COMPOUNDVALUE(420)</f>
        <v>255</v>
      </c>
      <c r="I17" s="142">
        <v>1573425</v>
      </c>
      <c r="J17" s="140">
        <v>472</v>
      </c>
      <c r="K17" s="142">
        <v>142923</v>
      </c>
      <c r="L17" s="140">
        <v>6378</v>
      </c>
      <c r="M17" s="142">
        <v>20395744</v>
      </c>
      <c r="N17" s="140">
        <v>6200</v>
      </c>
      <c r="O17" s="143">
        <v>126</v>
      </c>
      <c r="P17" s="143">
        <v>10</v>
      </c>
      <c r="Q17" s="144">
        <v>6336</v>
      </c>
      <c r="R17" s="96" t="s">
        <v>64</v>
      </c>
    </row>
    <row r="18" spans="1:18" ht="25.5" customHeight="1">
      <c r="A18" s="93" t="s">
        <v>65</v>
      </c>
      <c r="B18" s="140">
        <f>_xlfn.COMPOUNDVALUE(421)</f>
        <v>6969</v>
      </c>
      <c r="C18" s="141">
        <v>43487087</v>
      </c>
      <c r="D18" s="140">
        <f>_xlfn.COMPOUNDVALUE(422)</f>
        <v>6032</v>
      </c>
      <c r="E18" s="141">
        <v>2968080</v>
      </c>
      <c r="F18" s="140">
        <f>_xlfn.COMPOUNDVALUE(423)</f>
        <v>13001</v>
      </c>
      <c r="G18" s="141">
        <v>46455167</v>
      </c>
      <c r="H18" s="140">
        <f>_xlfn.COMPOUNDVALUE(424)</f>
        <v>631</v>
      </c>
      <c r="I18" s="142">
        <v>7056810</v>
      </c>
      <c r="J18" s="140">
        <v>840</v>
      </c>
      <c r="K18" s="142">
        <v>127176</v>
      </c>
      <c r="L18" s="140">
        <v>13761</v>
      </c>
      <c r="M18" s="142">
        <v>39525534</v>
      </c>
      <c r="N18" s="140">
        <v>13675</v>
      </c>
      <c r="O18" s="143">
        <v>403</v>
      </c>
      <c r="P18" s="143">
        <v>43</v>
      </c>
      <c r="Q18" s="144">
        <v>14121</v>
      </c>
      <c r="R18" s="96" t="s">
        <v>66</v>
      </c>
    </row>
    <row r="19" spans="1:18" ht="25.5" customHeight="1">
      <c r="A19" s="93" t="s">
        <v>67</v>
      </c>
      <c r="B19" s="140">
        <f>_xlfn.COMPOUNDVALUE(425)</f>
        <v>5089</v>
      </c>
      <c r="C19" s="141">
        <v>26612750</v>
      </c>
      <c r="D19" s="140">
        <f>_xlfn.COMPOUNDVALUE(426)</f>
        <v>3520</v>
      </c>
      <c r="E19" s="141">
        <v>1664721</v>
      </c>
      <c r="F19" s="140">
        <f>_xlfn.COMPOUNDVALUE(427)</f>
        <v>8609</v>
      </c>
      <c r="G19" s="141">
        <v>28277471</v>
      </c>
      <c r="H19" s="140">
        <f>_xlfn.COMPOUNDVALUE(428)</f>
        <v>346</v>
      </c>
      <c r="I19" s="142">
        <v>16637523</v>
      </c>
      <c r="J19" s="140">
        <v>521</v>
      </c>
      <c r="K19" s="142">
        <v>75131</v>
      </c>
      <c r="L19" s="140">
        <v>9043</v>
      </c>
      <c r="M19" s="142">
        <v>11715080</v>
      </c>
      <c r="N19" s="140">
        <v>9341</v>
      </c>
      <c r="O19" s="143">
        <v>245</v>
      </c>
      <c r="P19" s="143">
        <v>17</v>
      </c>
      <c r="Q19" s="144">
        <v>9603</v>
      </c>
      <c r="R19" s="96" t="s">
        <v>68</v>
      </c>
    </row>
    <row r="20" spans="1:18" ht="25.5" customHeight="1">
      <c r="A20" s="93" t="s">
        <v>69</v>
      </c>
      <c r="B20" s="140">
        <f>_xlfn.COMPOUNDVALUE(429)</f>
        <v>5625</v>
      </c>
      <c r="C20" s="141">
        <v>35159708</v>
      </c>
      <c r="D20" s="140">
        <f>_xlfn.COMPOUNDVALUE(430)</f>
        <v>4512</v>
      </c>
      <c r="E20" s="141">
        <v>2279857</v>
      </c>
      <c r="F20" s="140">
        <f>_xlfn.COMPOUNDVALUE(431)</f>
        <v>10137</v>
      </c>
      <c r="G20" s="141">
        <v>37439565</v>
      </c>
      <c r="H20" s="140">
        <f>_xlfn.COMPOUNDVALUE(432)</f>
        <v>279</v>
      </c>
      <c r="I20" s="142">
        <v>1523214</v>
      </c>
      <c r="J20" s="140">
        <v>668</v>
      </c>
      <c r="K20" s="142">
        <v>79648</v>
      </c>
      <c r="L20" s="140">
        <v>10538</v>
      </c>
      <c r="M20" s="142">
        <v>35995999</v>
      </c>
      <c r="N20" s="140">
        <v>10349</v>
      </c>
      <c r="O20" s="143">
        <v>231</v>
      </c>
      <c r="P20" s="143">
        <v>20</v>
      </c>
      <c r="Q20" s="144">
        <v>10600</v>
      </c>
      <c r="R20" s="96" t="s">
        <v>70</v>
      </c>
    </row>
    <row r="21" spans="1:18" ht="25.5" customHeight="1">
      <c r="A21" s="93" t="s">
        <v>71</v>
      </c>
      <c r="B21" s="140">
        <f>_xlfn.COMPOUNDVALUE(433)</f>
        <v>1687</v>
      </c>
      <c r="C21" s="141">
        <v>5461078</v>
      </c>
      <c r="D21" s="140">
        <f>_xlfn.COMPOUNDVALUE(434)</f>
        <v>1557</v>
      </c>
      <c r="E21" s="141">
        <v>727445</v>
      </c>
      <c r="F21" s="140">
        <f>_xlfn.COMPOUNDVALUE(435)</f>
        <v>3244</v>
      </c>
      <c r="G21" s="141">
        <v>6188523</v>
      </c>
      <c r="H21" s="140">
        <f>_xlfn.COMPOUNDVALUE(436)</f>
        <v>84</v>
      </c>
      <c r="I21" s="142">
        <v>142178</v>
      </c>
      <c r="J21" s="140">
        <v>239</v>
      </c>
      <c r="K21" s="142">
        <v>27690</v>
      </c>
      <c r="L21" s="140">
        <v>3362</v>
      </c>
      <c r="M21" s="142">
        <v>6074035</v>
      </c>
      <c r="N21" s="140">
        <v>3404</v>
      </c>
      <c r="O21" s="143">
        <v>87</v>
      </c>
      <c r="P21" s="143">
        <v>8</v>
      </c>
      <c r="Q21" s="144">
        <v>3499</v>
      </c>
      <c r="R21" s="96" t="s">
        <v>72</v>
      </c>
    </row>
    <row r="22" spans="1:18" ht="25.5" customHeight="1">
      <c r="A22" s="95" t="s">
        <v>73</v>
      </c>
      <c r="B22" s="145">
        <f>_xlfn.COMPOUNDVALUE(437)</f>
        <v>2769</v>
      </c>
      <c r="C22" s="146">
        <v>11858189</v>
      </c>
      <c r="D22" s="145">
        <f>_xlfn.COMPOUNDVALUE(438)</f>
        <v>2767</v>
      </c>
      <c r="E22" s="146">
        <v>1248303</v>
      </c>
      <c r="F22" s="145">
        <f>_xlfn.COMPOUNDVALUE(439)</f>
        <v>5536</v>
      </c>
      <c r="G22" s="146">
        <v>13106492</v>
      </c>
      <c r="H22" s="145">
        <f>_xlfn.COMPOUNDVALUE(440)</f>
        <v>122</v>
      </c>
      <c r="I22" s="147">
        <v>392341</v>
      </c>
      <c r="J22" s="145">
        <v>315</v>
      </c>
      <c r="K22" s="147">
        <v>17146</v>
      </c>
      <c r="L22" s="145">
        <v>5699</v>
      </c>
      <c r="M22" s="147">
        <v>12731296</v>
      </c>
      <c r="N22" s="140">
        <v>5737</v>
      </c>
      <c r="O22" s="143">
        <v>127</v>
      </c>
      <c r="P22" s="143">
        <v>12</v>
      </c>
      <c r="Q22" s="144">
        <v>5876</v>
      </c>
      <c r="R22" s="96" t="s">
        <v>74</v>
      </c>
    </row>
    <row r="23" spans="1:18" ht="25.5" customHeight="1">
      <c r="A23" s="95" t="s">
        <v>75</v>
      </c>
      <c r="B23" s="145">
        <f>_xlfn.COMPOUNDVALUE(441)</f>
        <v>2579</v>
      </c>
      <c r="C23" s="146">
        <v>12399180</v>
      </c>
      <c r="D23" s="145">
        <f>_xlfn.COMPOUNDVALUE(442)</f>
        <v>2296</v>
      </c>
      <c r="E23" s="146">
        <v>968822</v>
      </c>
      <c r="F23" s="145">
        <f>_xlfn.COMPOUNDVALUE(443)</f>
        <v>4875</v>
      </c>
      <c r="G23" s="146">
        <v>13368002</v>
      </c>
      <c r="H23" s="145">
        <f>_xlfn.COMPOUNDVALUE(444)</f>
        <v>137</v>
      </c>
      <c r="I23" s="147">
        <v>1492115</v>
      </c>
      <c r="J23" s="145">
        <v>204</v>
      </c>
      <c r="K23" s="147">
        <v>21695</v>
      </c>
      <c r="L23" s="145">
        <v>5049</v>
      </c>
      <c r="M23" s="147">
        <v>11897582</v>
      </c>
      <c r="N23" s="140">
        <v>4915</v>
      </c>
      <c r="O23" s="143">
        <v>110</v>
      </c>
      <c r="P23" s="143">
        <v>9</v>
      </c>
      <c r="Q23" s="144">
        <v>5034</v>
      </c>
      <c r="R23" s="96" t="s">
        <v>76</v>
      </c>
    </row>
    <row r="24" spans="1:18" ht="25.5" customHeight="1">
      <c r="A24" s="95" t="s">
        <v>77</v>
      </c>
      <c r="B24" s="145">
        <f>_xlfn.COMPOUNDVALUE(445)</f>
        <v>5335</v>
      </c>
      <c r="C24" s="146">
        <v>27805161</v>
      </c>
      <c r="D24" s="145">
        <f>_xlfn.COMPOUNDVALUE(446)</f>
        <v>4253</v>
      </c>
      <c r="E24" s="146">
        <v>2064096</v>
      </c>
      <c r="F24" s="145">
        <f>_xlfn.COMPOUNDVALUE(447)</f>
        <v>9588</v>
      </c>
      <c r="G24" s="146">
        <v>29869256</v>
      </c>
      <c r="H24" s="145">
        <f>_xlfn.COMPOUNDVALUE(448)</f>
        <v>262</v>
      </c>
      <c r="I24" s="147">
        <v>4917064</v>
      </c>
      <c r="J24" s="145">
        <v>721</v>
      </c>
      <c r="K24" s="147">
        <v>117920</v>
      </c>
      <c r="L24" s="145">
        <v>10015</v>
      </c>
      <c r="M24" s="147">
        <v>25070111</v>
      </c>
      <c r="N24" s="140">
        <v>9720</v>
      </c>
      <c r="O24" s="143">
        <v>227</v>
      </c>
      <c r="P24" s="143">
        <v>21</v>
      </c>
      <c r="Q24" s="144">
        <v>9968</v>
      </c>
      <c r="R24" s="96" t="s">
        <v>78</v>
      </c>
    </row>
    <row r="25" spans="1:18" ht="25.5" customHeight="1">
      <c r="A25" s="95" t="s">
        <v>79</v>
      </c>
      <c r="B25" s="145">
        <f>_xlfn.COMPOUNDVALUE(449)</f>
        <v>3074</v>
      </c>
      <c r="C25" s="146">
        <v>17724316</v>
      </c>
      <c r="D25" s="145">
        <f>_xlfn.COMPOUNDVALUE(450)</f>
        <v>2672</v>
      </c>
      <c r="E25" s="146">
        <v>1215536</v>
      </c>
      <c r="F25" s="145">
        <f>_xlfn.COMPOUNDVALUE(451)</f>
        <v>5746</v>
      </c>
      <c r="G25" s="146">
        <v>18939852</v>
      </c>
      <c r="H25" s="145">
        <f>_xlfn.COMPOUNDVALUE(452)</f>
        <v>233</v>
      </c>
      <c r="I25" s="147">
        <v>18870993</v>
      </c>
      <c r="J25" s="145">
        <v>365</v>
      </c>
      <c r="K25" s="147">
        <v>103288</v>
      </c>
      <c r="L25" s="145">
        <v>6037</v>
      </c>
      <c r="M25" s="147">
        <v>172147</v>
      </c>
      <c r="N25" s="140">
        <v>6338</v>
      </c>
      <c r="O25" s="143">
        <v>152</v>
      </c>
      <c r="P25" s="143">
        <v>9</v>
      </c>
      <c r="Q25" s="144">
        <v>6499</v>
      </c>
      <c r="R25" s="96" t="s">
        <v>80</v>
      </c>
    </row>
    <row r="26" spans="1:18" ht="25.5" customHeight="1">
      <c r="A26" s="95" t="s">
        <v>81</v>
      </c>
      <c r="B26" s="145">
        <f>_xlfn.COMPOUNDVALUE(453)</f>
        <v>2428</v>
      </c>
      <c r="C26" s="146">
        <v>10272596</v>
      </c>
      <c r="D26" s="145">
        <f>_xlfn.COMPOUNDVALUE(454)</f>
        <v>2223</v>
      </c>
      <c r="E26" s="146">
        <v>991445</v>
      </c>
      <c r="F26" s="145">
        <f>_xlfn.COMPOUNDVALUE(455)</f>
        <v>4651</v>
      </c>
      <c r="G26" s="146">
        <v>11264041</v>
      </c>
      <c r="H26" s="145">
        <f>_xlfn.COMPOUNDVALUE(456)</f>
        <v>158</v>
      </c>
      <c r="I26" s="147">
        <v>895554</v>
      </c>
      <c r="J26" s="145">
        <v>287</v>
      </c>
      <c r="K26" s="147">
        <v>25702</v>
      </c>
      <c r="L26" s="145">
        <v>4856</v>
      </c>
      <c r="M26" s="147">
        <v>10394189</v>
      </c>
      <c r="N26" s="140">
        <v>4543</v>
      </c>
      <c r="O26" s="143">
        <v>140</v>
      </c>
      <c r="P26" s="143">
        <v>6</v>
      </c>
      <c r="Q26" s="144">
        <v>4689</v>
      </c>
      <c r="R26" s="96" t="s">
        <v>82</v>
      </c>
    </row>
    <row r="27" spans="1:18" ht="25.5" customHeight="1">
      <c r="A27" s="95" t="s">
        <v>83</v>
      </c>
      <c r="B27" s="145">
        <f>_xlfn.COMPOUNDVALUE(457)</f>
        <v>3569</v>
      </c>
      <c r="C27" s="146">
        <v>17133122</v>
      </c>
      <c r="D27" s="145">
        <f>_xlfn.COMPOUNDVALUE(458)</f>
        <v>2766</v>
      </c>
      <c r="E27" s="146">
        <v>1299267</v>
      </c>
      <c r="F27" s="145">
        <f>_xlfn.COMPOUNDVALUE(459)</f>
        <v>6335</v>
      </c>
      <c r="G27" s="146">
        <v>18432389</v>
      </c>
      <c r="H27" s="145">
        <f>_xlfn.COMPOUNDVALUE(460)</f>
        <v>212</v>
      </c>
      <c r="I27" s="147">
        <v>476906</v>
      </c>
      <c r="J27" s="145">
        <v>344</v>
      </c>
      <c r="K27" s="147">
        <v>50936</v>
      </c>
      <c r="L27" s="145">
        <v>6604</v>
      </c>
      <c r="M27" s="147">
        <v>18006418</v>
      </c>
      <c r="N27" s="140">
        <v>6403</v>
      </c>
      <c r="O27" s="143">
        <v>113</v>
      </c>
      <c r="P27" s="143">
        <v>12</v>
      </c>
      <c r="Q27" s="144">
        <v>6528</v>
      </c>
      <c r="R27" s="96" t="s">
        <v>84</v>
      </c>
    </row>
    <row r="28" spans="1:18" ht="25.5" customHeight="1">
      <c r="A28" s="95" t="s">
        <v>85</v>
      </c>
      <c r="B28" s="145">
        <f>_xlfn.COMPOUNDVALUE(461)</f>
        <v>1040</v>
      </c>
      <c r="C28" s="146">
        <v>2801236</v>
      </c>
      <c r="D28" s="145">
        <f>_xlfn.COMPOUNDVALUE(462)</f>
        <v>939</v>
      </c>
      <c r="E28" s="146">
        <v>396962</v>
      </c>
      <c r="F28" s="145">
        <f>_xlfn.COMPOUNDVALUE(463)</f>
        <v>1979</v>
      </c>
      <c r="G28" s="146">
        <v>3198198</v>
      </c>
      <c r="H28" s="145">
        <f>_xlfn.COMPOUNDVALUE(464)</f>
        <v>54</v>
      </c>
      <c r="I28" s="147">
        <v>50187</v>
      </c>
      <c r="J28" s="145">
        <v>186</v>
      </c>
      <c r="K28" s="147">
        <v>11667</v>
      </c>
      <c r="L28" s="145">
        <v>2060</v>
      </c>
      <c r="M28" s="147">
        <v>3159677</v>
      </c>
      <c r="N28" s="145">
        <v>2018</v>
      </c>
      <c r="O28" s="159">
        <v>41</v>
      </c>
      <c r="P28" s="159">
        <v>1</v>
      </c>
      <c r="Q28" s="160">
        <v>2060</v>
      </c>
      <c r="R28" s="96" t="s">
        <v>86</v>
      </c>
    </row>
    <row r="29" spans="1:18" ht="25.5" customHeight="1">
      <c r="A29" s="97" t="s">
        <v>87</v>
      </c>
      <c r="B29" s="148">
        <v>50820</v>
      </c>
      <c r="C29" s="149">
        <v>284029066</v>
      </c>
      <c r="D29" s="148">
        <v>41983</v>
      </c>
      <c r="E29" s="149">
        <v>19916650</v>
      </c>
      <c r="F29" s="148">
        <v>92803</v>
      </c>
      <c r="G29" s="149">
        <v>303945717</v>
      </c>
      <c r="H29" s="148">
        <v>3238</v>
      </c>
      <c r="I29" s="150">
        <v>56810441</v>
      </c>
      <c r="J29" s="148">
        <v>6032</v>
      </c>
      <c r="K29" s="150">
        <v>968658</v>
      </c>
      <c r="L29" s="148">
        <v>97114</v>
      </c>
      <c r="M29" s="150">
        <v>248103934</v>
      </c>
      <c r="N29" s="148">
        <v>95883</v>
      </c>
      <c r="O29" s="151">
        <v>2313</v>
      </c>
      <c r="P29" s="151">
        <v>201</v>
      </c>
      <c r="Q29" s="152">
        <v>98397</v>
      </c>
      <c r="R29" s="98" t="s">
        <v>88</v>
      </c>
    </row>
    <row r="30" spans="1:18" ht="25.5" customHeight="1">
      <c r="A30" s="99"/>
      <c r="B30" s="153"/>
      <c r="C30" s="154"/>
      <c r="D30" s="153"/>
      <c r="E30" s="154"/>
      <c r="F30" s="155"/>
      <c r="G30" s="154"/>
      <c r="H30" s="155"/>
      <c r="I30" s="154"/>
      <c r="J30" s="155"/>
      <c r="K30" s="154"/>
      <c r="L30" s="155"/>
      <c r="M30" s="154"/>
      <c r="N30" s="156"/>
      <c r="O30" s="157"/>
      <c r="P30" s="157"/>
      <c r="Q30" s="158"/>
      <c r="R30" s="100" t="s">
        <v>44</v>
      </c>
    </row>
    <row r="31" spans="1:18" ht="25.5" customHeight="1">
      <c r="A31" s="93" t="s">
        <v>89</v>
      </c>
      <c r="B31" s="140">
        <f>_xlfn.COMPOUNDVALUE(465)</f>
        <v>4652</v>
      </c>
      <c r="C31" s="141">
        <v>26532097</v>
      </c>
      <c r="D31" s="140">
        <f>_xlfn.COMPOUNDVALUE(466)</f>
        <v>3215</v>
      </c>
      <c r="E31" s="141">
        <v>1859273</v>
      </c>
      <c r="F31" s="140">
        <f>_xlfn.COMPOUNDVALUE(467)</f>
        <v>7867</v>
      </c>
      <c r="G31" s="141">
        <v>28391370</v>
      </c>
      <c r="H31" s="140">
        <f>_xlfn.COMPOUNDVALUE(468)</f>
        <v>496</v>
      </c>
      <c r="I31" s="142">
        <v>1671849</v>
      </c>
      <c r="J31" s="140">
        <v>531</v>
      </c>
      <c r="K31" s="142">
        <v>91135</v>
      </c>
      <c r="L31" s="140">
        <v>8477</v>
      </c>
      <c r="M31" s="142">
        <v>26810656</v>
      </c>
      <c r="N31" s="140">
        <v>8514</v>
      </c>
      <c r="O31" s="143">
        <v>277</v>
      </c>
      <c r="P31" s="143">
        <v>48</v>
      </c>
      <c r="Q31" s="144">
        <v>8839</v>
      </c>
      <c r="R31" s="96" t="s">
        <v>90</v>
      </c>
    </row>
    <row r="32" spans="1:18" ht="25.5" customHeight="1">
      <c r="A32" s="93" t="s">
        <v>91</v>
      </c>
      <c r="B32" s="140">
        <f>_xlfn.COMPOUNDVALUE(469)</f>
        <v>2498</v>
      </c>
      <c r="C32" s="141">
        <v>82616990</v>
      </c>
      <c r="D32" s="140">
        <f>_xlfn.COMPOUNDVALUE(470)</f>
        <v>1166</v>
      </c>
      <c r="E32" s="141">
        <v>717896</v>
      </c>
      <c r="F32" s="140">
        <f>_xlfn.COMPOUNDVALUE(471)</f>
        <v>3664</v>
      </c>
      <c r="G32" s="141">
        <v>83334886</v>
      </c>
      <c r="H32" s="140">
        <f>_xlfn.COMPOUNDVALUE(472)</f>
        <v>339</v>
      </c>
      <c r="I32" s="142">
        <v>16964640</v>
      </c>
      <c r="J32" s="140">
        <v>320</v>
      </c>
      <c r="K32" s="142">
        <v>117247</v>
      </c>
      <c r="L32" s="140">
        <v>4057</v>
      </c>
      <c r="M32" s="142">
        <v>66487492</v>
      </c>
      <c r="N32" s="145">
        <v>4103</v>
      </c>
      <c r="O32" s="159">
        <v>144</v>
      </c>
      <c r="P32" s="159">
        <v>34</v>
      </c>
      <c r="Q32" s="160">
        <v>4281</v>
      </c>
      <c r="R32" s="96" t="s">
        <v>92</v>
      </c>
    </row>
    <row r="33" spans="1:18" ht="25.5" customHeight="1">
      <c r="A33" s="93" t="s">
        <v>93</v>
      </c>
      <c r="B33" s="140">
        <f>_xlfn.COMPOUNDVALUE(473)</f>
        <v>5046</v>
      </c>
      <c r="C33" s="141">
        <v>27816866</v>
      </c>
      <c r="D33" s="140">
        <f>_xlfn.COMPOUNDVALUE(474)</f>
        <v>3016</v>
      </c>
      <c r="E33" s="141">
        <v>1540062</v>
      </c>
      <c r="F33" s="140">
        <f>_xlfn.COMPOUNDVALUE(475)</f>
        <v>8062</v>
      </c>
      <c r="G33" s="141">
        <v>29356928</v>
      </c>
      <c r="H33" s="140">
        <f>_xlfn.COMPOUNDVALUE(476)</f>
        <v>360</v>
      </c>
      <c r="I33" s="142">
        <v>856790</v>
      </c>
      <c r="J33" s="140">
        <v>616</v>
      </c>
      <c r="K33" s="142">
        <v>62909</v>
      </c>
      <c r="L33" s="140">
        <v>8573</v>
      </c>
      <c r="M33" s="142">
        <v>28563048</v>
      </c>
      <c r="N33" s="145">
        <v>8488</v>
      </c>
      <c r="O33" s="159">
        <v>206</v>
      </c>
      <c r="P33" s="159">
        <v>32</v>
      </c>
      <c r="Q33" s="160">
        <v>8726</v>
      </c>
      <c r="R33" s="96" t="s">
        <v>94</v>
      </c>
    </row>
    <row r="34" spans="1:18" ht="25.5" customHeight="1">
      <c r="A34" s="93" t="s">
        <v>95</v>
      </c>
      <c r="B34" s="140">
        <f>_xlfn.COMPOUNDVALUE(477)</f>
        <v>5720</v>
      </c>
      <c r="C34" s="141">
        <v>44046041</v>
      </c>
      <c r="D34" s="140">
        <f>_xlfn.COMPOUNDVALUE(478)</f>
        <v>3083</v>
      </c>
      <c r="E34" s="141">
        <v>1589065</v>
      </c>
      <c r="F34" s="140">
        <f>_xlfn.COMPOUNDVALUE(479)</f>
        <v>8803</v>
      </c>
      <c r="G34" s="141">
        <v>45635106</v>
      </c>
      <c r="H34" s="140">
        <f>_xlfn.COMPOUNDVALUE(480)</f>
        <v>421</v>
      </c>
      <c r="I34" s="142">
        <v>3025555</v>
      </c>
      <c r="J34" s="140">
        <v>585</v>
      </c>
      <c r="K34" s="142">
        <v>89352</v>
      </c>
      <c r="L34" s="140">
        <v>9357</v>
      </c>
      <c r="M34" s="142">
        <v>42698903</v>
      </c>
      <c r="N34" s="145">
        <v>9403</v>
      </c>
      <c r="O34" s="159">
        <v>191</v>
      </c>
      <c r="P34" s="159">
        <v>38</v>
      </c>
      <c r="Q34" s="160">
        <v>9632</v>
      </c>
      <c r="R34" s="96" t="s">
        <v>96</v>
      </c>
    </row>
    <row r="35" spans="1:18" ht="25.5" customHeight="1">
      <c r="A35" s="101" t="s">
        <v>97</v>
      </c>
      <c r="B35" s="140">
        <f>_xlfn.COMPOUNDVALUE(481)</f>
        <v>3678</v>
      </c>
      <c r="C35" s="141">
        <v>100447750</v>
      </c>
      <c r="D35" s="140">
        <f>_xlfn.COMPOUNDVALUE(482)</f>
        <v>1713</v>
      </c>
      <c r="E35" s="141">
        <v>963449</v>
      </c>
      <c r="F35" s="140">
        <f>_xlfn.COMPOUNDVALUE(483)</f>
        <v>5391</v>
      </c>
      <c r="G35" s="141">
        <v>101411199</v>
      </c>
      <c r="H35" s="140">
        <f>_xlfn.COMPOUNDVALUE(484)</f>
        <v>415</v>
      </c>
      <c r="I35" s="142">
        <v>66165050</v>
      </c>
      <c r="J35" s="140">
        <v>376</v>
      </c>
      <c r="K35" s="142">
        <v>23136</v>
      </c>
      <c r="L35" s="140">
        <v>5884</v>
      </c>
      <c r="M35" s="142">
        <v>35269285</v>
      </c>
      <c r="N35" s="145">
        <v>5708</v>
      </c>
      <c r="O35" s="159">
        <v>162</v>
      </c>
      <c r="P35" s="159">
        <v>25</v>
      </c>
      <c r="Q35" s="160">
        <v>5895</v>
      </c>
      <c r="R35" s="102" t="s">
        <v>98</v>
      </c>
    </row>
    <row r="36" spans="1:18" ht="25.5" customHeight="1">
      <c r="A36" s="93" t="s">
        <v>99</v>
      </c>
      <c r="B36" s="140">
        <f>_xlfn.COMPOUNDVALUE(485)</f>
        <v>7156</v>
      </c>
      <c r="C36" s="141">
        <v>127377983</v>
      </c>
      <c r="D36" s="140">
        <f>_xlfn.COMPOUNDVALUE(486)</f>
        <v>2711</v>
      </c>
      <c r="E36" s="141">
        <v>1836217</v>
      </c>
      <c r="F36" s="140">
        <f>_xlfn.COMPOUNDVALUE(487)</f>
        <v>9867</v>
      </c>
      <c r="G36" s="141">
        <v>129214200</v>
      </c>
      <c r="H36" s="140">
        <f>_xlfn.COMPOUNDVALUE(488)</f>
        <v>742</v>
      </c>
      <c r="I36" s="142">
        <v>11508911</v>
      </c>
      <c r="J36" s="140">
        <v>799</v>
      </c>
      <c r="K36" s="142">
        <v>1254859</v>
      </c>
      <c r="L36" s="140">
        <v>10724</v>
      </c>
      <c r="M36" s="142">
        <v>118960148</v>
      </c>
      <c r="N36" s="145">
        <v>10782</v>
      </c>
      <c r="O36" s="159">
        <v>394</v>
      </c>
      <c r="P36" s="159">
        <v>104</v>
      </c>
      <c r="Q36" s="160">
        <v>11280</v>
      </c>
      <c r="R36" s="96" t="s">
        <v>100</v>
      </c>
    </row>
    <row r="37" spans="1:18" ht="25.5" customHeight="1">
      <c r="A37" s="93" t="s">
        <v>101</v>
      </c>
      <c r="B37" s="140">
        <f>_xlfn.COMPOUNDVALUE(489)</f>
        <v>7668</v>
      </c>
      <c r="C37" s="141">
        <v>54285810</v>
      </c>
      <c r="D37" s="140">
        <f>_xlfn.COMPOUNDVALUE(490)</f>
        <v>5045</v>
      </c>
      <c r="E37" s="141">
        <v>2760730</v>
      </c>
      <c r="F37" s="140">
        <f>_xlfn.COMPOUNDVALUE(491)</f>
        <v>12713</v>
      </c>
      <c r="G37" s="141">
        <v>57046540</v>
      </c>
      <c r="H37" s="140">
        <f>_xlfn.COMPOUNDVALUE(492)</f>
        <v>722</v>
      </c>
      <c r="I37" s="142">
        <v>17455814</v>
      </c>
      <c r="J37" s="140">
        <v>910</v>
      </c>
      <c r="K37" s="142">
        <v>35296</v>
      </c>
      <c r="L37" s="140">
        <v>13598</v>
      </c>
      <c r="M37" s="142">
        <v>39626022</v>
      </c>
      <c r="N37" s="145">
        <v>13495</v>
      </c>
      <c r="O37" s="159">
        <v>405</v>
      </c>
      <c r="P37" s="159">
        <v>52</v>
      </c>
      <c r="Q37" s="160">
        <v>13952</v>
      </c>
      <c r="R37" s="96" t="s">
        <v>102</v>
      </c>
    </row>
    <row r="38" spans="1:18" ht="25.5" customHeight="1">
      <c r="A38" s="93" t="s">
        <v>103</v>
      </c>
      <c r="B38" s="140">
        <f>_xlfn.COMPOUNDVALUE(493)</f>
        <v>7349</v>
      </c>
      <c r="C38" s="141">
        <v>56846057</v>
      </c>
      <c r="D38" s="140">
        <f>_xlfn.COMPOUNDVALUE(494)</f>
        <v>4374</v>
      </c>
      <c r="E38" s="141">
        <v>2312543</v>
      </c>
      <c r="F38" s="140">
        <f>_xlfn.COMPOUNDVALUE(495)</f>
        <v>11723</v>
      </c>
      <c r="G38" s="141">
        <v>59158600</v>
      </c>
      <c r="H38" s="140">
        <f>_xlfn.COMPOUNDVALUE(496)</f>
        <v>493</v>
      </c>
      <c r="I38" s="142">
        <v>2536024</v>
      </c>
      <c r="J38" s="140">
        <v>955</v>
      </c>
      <c r="K38" s="142">
        <v>19727</v>
      </c>
      <c r="L38" s="140">
        <v>12366</v>
      </c>
      <c r="M38" s="142">
        <v>56642303</v>
      </c>
      <c r="N38" s="145">
        <v>12320</v>
      </c>
      <c r="O38" s="159">
        <v>230</v>
      </c>
      <c r="P38" s="159">
        <v>50</v>
      </c>
      <c r="Q38" s="160">
        <v>12600</v>
      </c>
      <c r="R38" s="96" t="s">
        <v>104</v>
      </c>
    </row>
    <row r="39" spans="1:18" ht="25.5" customHeight="1">
      <c r="A39" s="93" t="s">
        <v>105</v>
      </c>
      <c r="B39" s="140">
        <f>_xlfn.COMPOUNDVALUE(497)</f>
        <v>6225</v>
      </c>
      <c r="C39" s="141">
        <v>41193702</v>
      </c>
      <c r="D39" s="140">
        <f>_xlfn.COMPOUNDVALUE(498)</f>
        <v>3399</v>
      </c>
      <c r="E39" s="141">
        <v>1711616</v>
      </c>
      <c r="F39" s="140">
        <f>_xlfn.COMPOUNDVALUE(499)</f>
        <v>9624</v>
      </c>
      <c r="G39" s="141">
        <v>42905318</v>
      </c>
      <c r="H39" s="140">
        <f>_xlfn.COMPOUNDVALUE(500)</f>
        <v>788</v>
      </c>
      <c r="I39" s="142">
        <v>8108688</v>
      </c>
      <c r="J39" s="140">
        <v>764</v>
      </c>
      <c r="K39" s="142">
        <v>142633</v>
      </c>
      <c r="L39" s="140">
        <v>10566</v>
      </c>
      <c r="M39" s="142">
        <v>34939263</v>
      </c>
      <c r="N39" s="145">
        <v>10190</v>
      </c>
      <c r="O39" s="159">
        <v>322</v>
      </c>
      <c r="P39" s="159">
        <v>34</v>
      </c>
      <c r="Q39" s="160">
        <v>10546</v>
      </c>
      <c r="R39" s="96" t="s">
        <v>106</v>
      </c>
    </row>
    <row r="40" spans="1:18" ht="25.5" customHeight="1">
      <c r="A40" s="93" t="s">
        <v>107</v>
      </c>
      <c r="B40" s="140">
        <f>_xlfn.COMPOUNDVALUE(501)</f>
        <v>9929</v>
      </c>
      <c r="C40" s="141">
        <v>53136045</v>
      </c>
      <c r="D40" s="140">
        <f>_xlfn.COMPOUNDVALUE(502)</f>
        <v>9929</v>
      </c>
      <c r="E40" s="141">
        <v>4573586</v>
      </c>
      <c r="F40" s="140">
        <f>_xlfn.COMPOUNDVALUE(503)</f>
        <v>19858</v>
      </c>
      <c r="G40" s="141">
        <v>57709631</v>
      </c>
      <c r="H40" s="140">
        <f>_xlfn.COMPOUNDVALUE(504)</f>
        <v>672</v>
      </c>
      <c r="I40" s="142">
        <v>4329066</v>
      </c>
      <c r="J40" s="140">
        <v>1021</v>
      </c>
      <c r="K40" s="142">
        <v>128764</v>
      </c>
      <c r="L40" s="140">
        <v>20688</v>
      </c>
      <c r="M40" s="142">
        <v>53509328</v>
      </c>
      <c r="N40" s="145">
        <v>19849</v>
      </c>
      <c r="O40" s="159">
        <v>403</v>
      </c>
      <c r="P40" s="159">
        <v>37</v>
      </c>
      <c r="Q40" s="160">
        <v>20289</v>
      </c>
      <c r="R40" s="96" t="s">
        <v>108</v>
      </c>
    </row>
    <row r="41" spans="1:18" ht="25.5" customHeight="1">
      <c r="A41" s="93" t="s">
        <v>109</v>
      </c>
      <c r="B41" s="140">
        <f>_xlfn.COMPOUNDVALUE(505)</f>
        <v>5054</v>
      </c>
      <c r="C41" s="141">
        <v>27868208</v>
      </c>
      <c r="D41" s="140">
        <f>_xlfn.COMPOUNDVALUE(506)</f>
        <v>3626</v>
      </c>
      <c r="E41" s="141">
        <v>1858385</v>
      </c>
      <c r="F41" s="140">
        <f>_xlfn.COMPOUNDVALUE(507)</f>
        <v>8680</v>
      </c>
      <c r="G41" s="141">
        <v>29726593</v>
      </c>
      <c r="H41" s="140">
        <f>_xlfn.COMPOUNDVALUE(508)</f>
        <v>282</v>
      </c>
      <c r="I41" s="142">
        <v>545107</v>
      </c>
      <c r="J41" s="140">
        <v>613</v>
      </c>
      <c r="K41" s="142">
        <v>71957</v>
      </c>
      <c r="L41" s="140">
        <v>9047</v>
      </c>
      <c r="M41" s="142">
        <v>29253443</v>
      </c>
      <c r="N41" s="145">
        <v>8887</v>
      </c>
      <c r="O41" s="159">
        <v>181</v>
      </c>
      <c r="P41" s="159">
        <v>26</v>
      </c>
      <c r="Q41" s="160">
        <v>9094</v>
      </c>
      <c r="R41" s="96" t="s">
        <v>110</v>
      </c>
    </row>
    <row r="42" spans="1:18" ht="25.5" customHeight="1">
      <c r="A42" s="93" t="s">
        <v>111</v>
      </c>
      <c r="B42" s="140">
        <f>_xlfn.COMPOUNDVALUE(509)</f>
        <v>6087</v>
      </c>
      <c r="C42" s="141">
        <v>40468865</v>
      </c>
      <c r="D42" s="140">
        <f>_xlfn.COMPOUNDVALUE(510)</f>
        <v>4407</v>
      </c>
      <c r="E42" s="141">
        <v>2153180</v>
      </c>
      <c r="F42" s="140">
        <f>_xlfn.COMPOUNDVALUE(511)</f>
        <v>10494</v>
      </c>
      <c r="G42" s="141">
        <v>42622045</v>
      </c>
      <c r="H42" s="140">
        <f>_xlfn.COMPOUNDVALUE(512)</f>
        <v>472</v>
      </c>
      <c r="I42" s="142">
        <v>1655450</v>
      </c>
      <c r="J42" s="140">
        <v>732</v>
      </c>
      <c r="K42" s="142">
        <v>63160</v>
      </c>
      <c r="L42" s="140">
        <v>11141</v>
      </c>
      <c r="M42" s="142">
        <v>41029755</v>
      </c>
      <c r="N42" s="145">
        <v>10866</v>
      </c>
      <c r="O42" s="159">
        <v>263</v>
      </c>
      <c r="P42" s="159">
        <v>24</v>
      </c>
      <c r="Q42" s="160">
        <v>11153</v>
      </c>
      <c r="R42" s="96" t="s">
        <v>112</v>
      </c>
    </row>
    <row r="43" spans="1:18" ht="25.5" customHeight="1">
      <c r="A43" s="93" t="s">
        <v>113</v>
      </c>
      <c r="B43" s="140">
        <f>_xlfn.COMPOUNDVALUE(513)</f>
        <v>2605</v>
      </c>
      <c r="C43" s="141">
        <v>12890814</v>
      </c>
      <c r="D43" s="140">
        <f>_xlfn.COMPOUNDVALUE(514)</f>
        <v>1924</v>
      </c>
      <c r="E43" s="141">
        <v>918627</v>
      </c>
      <c r="F43" s="140">
        <f>_xlfn.COMPOUNDVALUE(515)</f>
        <v>4529</v>
      </c>
      <c r="G43" s="141">
        <v>13809441</v>
      </c>
      <c r="H43" s="140">
        <f>_xlfn.COMPOUNDVALUE(516)</f>
        <v>161</v>
      </c>
      <c r="I43" s="142">
        <v>1098370</v>
      </c>
      <c r="J43" s="140">
        <v>282</v>
      </c>
      <c r="K43" s="142">
        <v>67622</v>
      </c>
      <c r="L43" s="140">
        <v>4773</v>
      </c>
      <c r="M43" s="142">
        <v>12778693</v>
      </c>
      <c r="N43" s="145">
        <v>4688</v>
      </c>
      <c r="O43" s="159">
        <v>87</v>
      </c>
      <c r="P43" s="159">
        <v>11</v>
      </c>
      <c r="Q43" s="160">
        <v>4786</v>
      </c>
      <c r="R43" s="96" t="s">
        <v>114</v>
      </c>
    </row>
    <row r="44" spans="1:18" ht="24.75" customHeight="1">
      <c r="A44" s="95" t="s">
        <v>115</v>
      </c>
      <c r="B44" s="145">
        <f>_xlfn.COMPOUNDVALUE(517)</f>
        <v>7317</v>
      </c>
      <c r="C44" s="146">
        <v>45100743</v>
      </c>
      <c r="D44" s="145">
        <f>_xlfn.COMPOUNDVALUE(518)</f>
        <v>5316</v>
      </c>
      <c r="E44" s="146">
        <v>2620035</v>
      </c>
      <c r="F44" s="145">
        <f>_xlfn.COMPOUNDVALUE(519)</f>
        <v>12633</v>
      </c>
      <c r="G44" s="146">
        <v>47720777</v>
      </c>
      <c r="H44" s="145">
        <f>_xlfn.COMPOUNDVALUE(520)</f>
        <v>496</v>
      </c>
      <c r="I44" s="147">
        <v>10929595</v>
      </c>
      <c r="J44" s="145">
        <v>781</v>
      </c>
      <c r="K44" s="147">
        <v>117871</v>
      </c>
      <c r="L44" s="145">
        <v>13324</v>
      </c>
      <c r="M44" s="147">
        <v>36909053</v>
      </c>
      <c r="N44" s="145">
        <v>12752</v>
      </c>
      <c r="O44" s="159">
        <v>349</v>
      </c>
      <c r="P44" s="159">
        <v>33</v>
      </c>
      <c r="Q44" s="160">
        <v>13134</v>
      </c>
      <c r="R44" s="96" t="s">
        <v>116</v>
      </c>
    </row>
    <row r="45" spans="1:18" ht="25.5" customHeight="1">
      <c r="A45" s="95" t="s">
        <v>117</v>
      </c>
      <c r="B45" s="145">
        <f>_xlfn.COMPOUNDVALUE(521)</f>
        <v>4681</v>
      </c>
      <c r="C45" s="146">
        <v>24365965</v>
      </c>
      <c r="D45" s="145">
        <f>_xlfn.COMPOUNDVALUE(522)</f>
        <v>3215</v>
      </c>
      <c r="E45" s="146">
        <v>1535878</v>
      </c>
      <c r="F45" s="145">
        <f>_xlfn.COMPOUNDVALUE(523)</f>
        <v>7896</v>
      </c>
      <c r="G45" s="146">
        <v>25901843</v>
      </c>
      <c r="H45" s="145">
        <f>_xlfn.COMPOUNDVALUE(524)</f>
        <v>509</v>
      </c>
      <c r="I45" s="147">
        <v>4230560</v>
      </c>
      <c r="J45" s="145">
        <v>551</v>
      </c>
      <c r="K45" s="147">
        <v>95497</v>
      </c>
      <c r="L45" s="145">
        <v>8583</v>
      </c>
      <c r="M45" s="147">
        <v>21766780</v>
      </c>
      <c r="N45" s="145">
        <v>8290</v>
      </c>
      <c r="O45" s="159">
        <v>210</v>
      </c>
      <c r="P45" s="159">
        <v>21</v>
      </c>
      <c r="Q45" s="160">
        <v>8521</v>
      </c>
      <c r="R45" s="96" t="s">
        <v>118</v>
      </c>
    </row>
    <row r="46" spans="1:18" ht="25.5" customHeight="1">
      <c r="A46" s="95" t="s">
        <v>119</v>
      </c>
      <c r="B46" s="145">
        <f>_xlfn.COMPOUNDVALUE(525)</f>
        <v>6439</v>
      </c>
      <c r="C46" s="146">
        <v>72989950</v>
      </c>
      <c r="D46" s="145">
        <f>_xlfn.COMPOUNDVALUE(526)</f>
        <v>4296</v>
      </c>
      <c r="E46" s="146">
        <v>2148168</v>
      </c>
      <c r="F46" s="145">
        <f>_xlfn.COMPOUNDVALUE(527)</f>
        <v>10735</v>
      </c>
      <c r="G46" s="146">
        <v>75138118</v>
      </c>
      <c r="H46" s="145">
        <f>_xlfn.COMPOUNDVALUE(528)</f>
        <v>396</v>
      </c>
      <c r="I46" s="147">
        <v>48462833</v>
      </c>
      <c r="J46" s="145">
        <v>651</v>
      </c>
      <c r="K46" s="147">
        <v>164716</v>
      </c>
      <c r="L46" s="145">
        <v>11272</v>
      </c>
      <c r="M46" s="147">
        <v>26840001</v>
      </c>
      <c r="N46" s="145">
        <v>10905</v>
      </c>
      <c r="O46" s="159">
        <v>266</v>
      </c>
      <c r="P46" s="159">
        <v>24</v>
      </c>
      <c r="Q46" s="160">
        <v>11195</v>
      </c>
      <c r="R46" s="96" t="s">
        <v>120</v>
      </c>
    </row>
    <row r="47" spans="1:18" ht="25.5" customHeight="1">
      <c r="A47" s="95" t="s">
        <v>121</v>
      </c>
      <c r="B47" s="145">
        <f>_xlfn.COMPOUNDVALUE(529)</f>
        <v>5106</v>
      </c>
      <c r="C47" s="146">
        <v>44138023</v>
      </c>
      <c r="D47" s="145">
        <f>_xlfn.COMPOUNDVALUE(530)</f>
        <v>3206</v>
      </c>
      <c r="E47" s="146">
        <v>1609099</v>
      </c>
      <c r="F47" s="145">
        <f>_xlfn.COMPOUNDVALUE(531)</f>
        <v>8312</v>
      </c>
      <c r="G47" s="146">
        <v>45747122</v>
      </c>
      <c r="H47" s="145">
        <f>_xlfn.COMPOUNDVALUE(532)</f>
        <v>345</v>
      </c>
      <c r="I47" s="147">
        <v>280814853</v>
      </c>
      <c r="J47" s="145">
        <v>592</v>
      </c>
      <c r="K47" s="147">
        <v>95212</v>
      </c>
      <c r="L47" s="145">
        <v>8739</v>
      </c>
      <c r="M47" s="147">
        <v>-234972519</v>
      </c>
      <c r="N47" s="145">
        <v>8423</v>
      </c>
      <c r="O47" s="159">
        <v>201</v>
      </c>
      <c r="P47" s="159">
        <v>16</v>
      </c>
      <c r="Q47" s="160">
        <v>8640</v>
      </c>
      <c r="R47" s="96" t="s">
        <v>122</v>
      </c>
    </row>
    <row r="48" spans="1:18" ht="25.5" customHeight="1">
      <c r="A48" s="95" t="s">
        <v>123</v>
      </c>
      <c r="B48" s="145">
        <f>_xlfn.COMPOUNDVALUE(533)</f>
        <v>2490</v>
      </c>
      <c r="C48" s="146">
        <v>13113107</v>
      </c>
      <c r="D48" s="145">
        <f>_xlfn.COMPOUNDVALUE(534)</f>
        <v>2139</v>
      </c>
      <c r="E48" s="146">
        <v>955206</v>
      </c>
      <c r="F48" s="145">
        <f>_xlfn.COMPOUNDVALUE(535)</f>
        <v>4629</v>
      </c>
      <c r="G48" s="146">
        <v>14068313</v>
      </c>
      <c r="H48" s="145">
        <f>_xlfn.COMPOUNDVALUE(536)</f>
        <v>155</v>
      </c>
      <c r="I48" s="147">
        <v>1277628</v>
      </c>
      <c r="J48" s="145">
        <v>235</v>
      </c>
      <c r="K48" s="147">
        <v>57650</v>
      </c>
      <c r="L48" s="145">
        <v>4843</v>
      </c>
      <c r="M48" s="147">
        <v>12848336</v>
      </c>
      <c r="N48" s="145">
        <v>4669</v>
      </c>
      <c r="O48" s="159">
        <v>85</v>
      </c>
      <c r="P48" s="159">
        <v>11</v>
      </c>
      <c r="Q48" s="160">
        <v>4765</v>
      </c>
      <c r="R48" s="96" t="s">
        <v>124</v>
      </c>
    </row>
    <row r="49" spans="1:18" ht="25.5" customHeight="1">
      <c r="A49" s="95" t="s">
        <v>125</v>
      </c>
      <c r="B49" s="145">
        <f>_xlfn.COMPOUNDVALUE(537)</f>
        <v>8728</v>
      </c>
      <c r="C49" s="146">
        <v>54362612</v>
      </c>
      <c r="D49" s="145">
        <f>_xlfn.COMPOUNDVALUE(538)</f>
        <v>5704</v>
      </c>
      <c r="E49" s="146">
        <v>2938510</v>
      </c>
      <c r="F49" s="145">
        <f>_xlfn.COMPOUNDVALUE(539)</f>
        <v>14432</v>
      </c>
      <c r="G49" s="146">
        <v>57301122</v>
      </c>
      <c r="H49" s="145">
        <f>_xlfn.COMPOUNDVALUE(540)</f>
        <v>575</v>
      </c>
      <c r="I49" s="147">
        <v>12826199</v>
      </c>
      <c r="J49" s="145">
        <v>1013</v>
      </c>
      <c r="K49" s="147">
        <v>51489</v>
      </c>
      <c r="L49" s="145">
        <v>15285</v>
      </c>
      <c r="M49" s="147">
        <v>44526412</v>
      </c>
      <c r="N49" s="145">
        <v>14932</v>
      </c>
      <c r="O49" s="159">
        <v>350</v>
      </c>
      <c r="P49" s="159">
        <v>44</v>
      </c>
      <c r="Q49" s="160">
        <v>15326</v>
      </c>
      <c r="R49" s="96" t="s">
        <v>126</v>
      </c>
    </row>
    <row r="50" spans="1:18" ht="25.5" customHeight="1">
      <c r="A50" s="95" t="s">
        <v>127</v>
      </c>
      <c r="B50" s="145">
        <f>_xlfn.COMPOUNDVALUE(541)</f>
        <v>747</v>
      </c>
      <c r="C50" s="146">
        <v>2603425</v>
      </c>
      <c r="D50" s="145">
        <f>_xlfn.COMPOUNDVALUE(542)</f>
        <v>572</v>
      </c>
      <c r="E50" s="146">
        <v>239394</v>
      </c>
      <c r="F50" s="145">
        <f>_xlfn.COMPOUNDVALUE(543)</f>
        <v>1319</v>
      </c>
      <c r="G50" s="146">
        <v>2842820</v>
      </c>
      <c r="H50" s="145">
        <f>_xlfn.COMPOUNDVALUE(544)</f>
        <v>48</v>
      </c>
      <c r="I50" s="147">
        <v>77822</v>
      </c>
      <c r="J50" s="145">
        <v>107</v>
      </c>
      <c r="K50" s="147">
        <v>13745</v>
      </c>
      <c r="L50" s="145">
        <v>1377</v>
      </c>
      <c r="M50" s="147">
        <v>2778743</v>
      </c>
      <c r="N50" s="145">
        <v>1323</v>
      </c>
      <c r="O50" s="159">
        <v>33</v>
      </c>
      <c r="P50" s="159">
        <v>4</v>
      </c>
      <c r="Q50" s="160">
        <v>1360</v>
      </c>
      <c r="R50" s="96" t="s">
        <v>128</v>
      </c>
    </row>
    <row r="51" spans="1:18" ht="25.5" customHeight="1">
      <c r="A51" s="97" t="s">
        <v>129</v>
      </c>
      <c r="B51" s="148">
        <v>109175</v>
      </c>
      <c r="C51" s="149">
        <v>952201052</v>
      </c>
      <c r="D51" s="148">
        <v>72056</v>
      </c>
      <c r="E51" s="149">
        <v>36840917</v>
      </c>
      <c r="F51" s="148">
        <v>181231</v>
      </c>
      <c r="G51" s="149">
        <v>989041969</v>
      </c>
      <c r="H51" s="148">
        <v>8887</v>
      </c>
      <c r="I51" s="150">
        <v>494540802</v>
      </c>
      <c r="J51" s="148">
        <v>12434</v>
      </c>
      <c r="K51" s="150">
        <v>2763979</v>
      </c>
      <c r="L51" s="148">
        <v>192674</v>
      </c>
      <c r="M51" s="150">
        <v>497265146</v>
      </c>
      <c r="N51" s="148">
        <v>188587</v>
      </c>
      <c r="O51" s="151">
        <v>4759</v>
      </c>
      <c r="P51" s="151">
        <v>668</v>
      </c>
      <c r="Q51" s="152">
        <v>194014</v>
      </c>
      <c r="R51" s="98" t="s">
        <v>130</v>
      </c>
    </row>
    <row r="52" spans="1:18" ht="25.5" customHeight="1">
      <c r="A52" s="99"/>
      <c r="B52" s="153"/>
      <c r="C52" s="154"/>
      <c r="D52" s="153"/>
      <c r="E52" s="154"/>
      <c r="F52" s="155"/>
      <c r="G52" s="154"/>
      <c r="H52" s="155"/>
      <c r="I52" s="154"/>
      <c r="J52" s="155"/>
      <c r="K52" s="154"/>
      <c r="L52" s="155"/>
      <c r="M52" s="154"/>
      <c r="N52" s="156"/>
      <c r="O52" s="157"/>
      <c r="P52" s="157"/>
      <c r="Q52" s="158"/>
      <c r="R52" s="100" t="s">
        <v>44</v>
      </c>
    </row>
    <row r="53" spans="1:18" ht="25.5" customHeight="1">
      <c r="A53" s="93" t="s">
        <v>131</v>
      </c>
      <c r="B53" s="140">
        <f>_xlfn.COMPOUNDVALUE(545)</f>
        <v>3293</v>
      </c>
      <c r="C53" s="141">
        <v>18621927</v>
      </c>
      <c r="D53" s="140">
        <f>_xlfn.COMPOUNDVALUE(546)</f>
        <v>2291</v>
      </c>
      <c r="E53" s="141">
        <v>1131280</v>
      </c>
      <c r="F53" s="140">
        <f>_xlfn.COMPOUNDVALUE(547)</f>
        <v>5584</v>
      </c>
      <c r="G53" s="141">
        <v>19753206</v>
      </c>
      <c r="H53" s="140">
        <f>_xlfn.COMPOUNDVALUE(548)</f>
        <v>189</v>
      </c>
      <c r="I53" s="142">
        <v>1522988</v>
      </c>
      <c r="J53" s="140">
        <v>457</v>
      </c>
      <c r="K53" s="142">
        <v>-35911</v>
      </c>
      <c r="L53" s="140">
        <v>5861</v>
      </c>
      <c r="M53" s="142">
        <v>18194308</v>
      </c>
      <c r="N53" s="140">
        <v>5994</v>
      </c>
      <c r="O53" s="143">
        <v>138</v>
      </c>
      <c r="P53" s="143">
        <v>13</v>
      </c>
      <c r="Q53" s="144">
        <v>6145</v>
      </c>
      <c r="R53" s="96" t="s">
        <v>132</v>
      </c>
    </row>
    <row r="54" spans="1:18" ht="25.5" customHeight="1">
      <c r="A54" s="95" t="s">
        <v>133</v>
      </c>
      <c r="B54" s="145">
        <f>_xlfn.COMPOUNDVALUE(549)</f>
        <v>5454</v>
      </c>
      <c r="C54" s="146">
        <v>35631451</v>
      </c>
      <c r="D54" s="145">
        <f>_xlfn.COMPOUNDVALUE(550)</f>
        <v>3411</v>
      </c>
      <c r="E54" s="146">
        <v>1728354</v>
      </c>
      <c r="F54" s="145">
        <f>_xlfn.COMPOUNDVALUE(551)</f>
        <v>8865</v>
      </c>
      <c r="G54" s="146">
        <v>37359805</v>
      </c>
      <c r="H54" s="145">
        <f>_xlfn.COMPOUNDVALUE(552)</f>
        <v>363</v>
      </c>
      <c r="I54" s="147">
        <v>14099634</v>
      </c>
      <c r="J54" s="145">
        <v>580</v>
      </c>
      <c r="K54" s="147">
        <v>68358</v>
      </c>
      <c r="L54" s="145">
        <v>9349</v>
      </c>
      <c r="M54" s="147">
        <v>23328530</v>
      </c>
      <c r="N54" s="145">
        <v>9102</v>
      </c>
      <c r="O54" s="159">
        <v>233</v>
      </c>
      <c r="P54" s="159">
        <v>21</v>
      </c>
      <c r="Q54" s="160">
        <v>9356</v>
      </c>
      <c r="R54" s="96" t="s">
        <v>134</v>
      </c>
    </row>
    <row r="55" spans="1:18" ht="25.5" customHeight="1">
      <c r="A55" s="95" t="s">
        <v>135</v>
      </c>
      <c r="B55" s="145">
        <f>_xlfn.COMPOUNDVALUE(553)</f>
        <v>3642</v>
      </c>
      <c r="C55" s="146">
        <v>13068632</v>
      </c>
      <c r="D55" s="145">
        <f>_xlfn.COMPOUNDVALUE(554)</f>
        <v>2506</v>
      </c>
      <c r="E55" s="146">
        <v>1108701</v>
      </c>
      <c r="F55" s="145">
        <f>_xlfn.COMPOUNDVALUE(555)</f>
        <v>6148</v>
      </c>
      <c r="G55" s="146">
        <v>14177333</v>
      </c>
      <c r="H55" s="145">
        <f>_xlfn.COMPOUNDVALUE(556)</f>
        <v>254</v>
      </c>
      <c r="I55" s="147">
        <v>1691535</v>
      </c>
      <c r="J55" s="145">
        <v>381</v>
      </c>
      <c r="K55" s="147">
        <v>35139</v>
      </c>
      <c r="L55" s="145">
        <v>6483</v>
      </c>
      <c r="M55" s="147">
        <v>12520937</v>
      </c>
      <c r="N55" s="145">
        <v>6311</v>
      </c>
      <c r="O55" s="159">
        <v>158</v>
      </c>
      <c r="P55" s="159">
        <v>15</v>
      </c>
      <c r="Q55" s="160">
        <v>6484</v>
      </c>
      <c r="R55" s="96" t="s">
        <v>136</v>
      </c>
    </row>
    <row r="56" spans="1:18" ht="25.5" customHeight="1">
      <c r="A56" s="95" t="s">
        <v>137</v>
      </c>
      <c r="B56" s="145">
        <f>_xlfn.COMPOUNDVALUE(557)</f>
        <v>2784</v>
      </c>
      <c r="C56" s="146">
        <v>13216581</v>
      </c>
      <c r="D56" s="145">
        <f>_xlfn.COMPOUNDVALUE(558)</f>
        <v>1799</v>
      </c>
      <c r="E56" s="146">
        <v>833911</v>
      </c>
      <c r="F56" s="145">
        <f>_xlfn.COMPOUNDVALUE(559)</f>
        <v>4583</v>
      </c>
      <c r="G56" s="146">
        <v>14050492</v>
      </c>
      <c r="H56" s="145">
        <f>_xlfn.COMPOUNDVALUE(560)</f>
        <v>268</v>
      </c>
      <c r="I56" s="147">
        <v>4655541</v>
      </c>
      <c r="J56" s="145">
        <v>360</v>
      </c>
      <c r="K56" s="147">
        <v>-71449</v>
      </c>
      <c r="L56" s="145">
        <v>4943</v>
      </c>
      <c r="M56" s="147">
        <v>9323501</v>
      </c>
      <c r="N56" s="145">
        <v>4648</v>
      </c>
      <c r="O56" s="159">
        <v>136</v>
      </c>
      <c r="P56" s="159">
        <v>8</v>
      </c>
      <c r="Q56" s="160">
        <v>4792</v>
      </c>
      <c r="R56" s="96" t="s">
        <v>138</v>
      </c>
    </row>
    <row r="57" spans="1:18" ht="25.5" customHeight="1">
      <c r="A57" s="95" t="s">
        <v>139</v>
      </c>
      <c r="B57" s="145">
        <f>_xlfn.COMPOUNDVALUE(561)</f>
        <v>2718</v>
      </c>
      <c r="C57" s="146">
        <v>16047568</v>
      </c>
      <c r="D57" s="145">
        <f>_xlfn.COMPOUNDVALUE(562)</f>
        <v>1886</v>
      </c>
      <c r="E57" s="146">
        <v>899788</v>
      </c>
      <c r="F57" s="145">
        <f>_xlfn.COMPOUNDVALUE(563)</f>
        <v>4604</v>
      </c>
      <c r="G57" s="146">
        <v>16947356</v>
      </c>
      <c r="H57" s="145">
        <f>_xlfn.COMPOUNDVALUE(564)</f>
        <v>200</v>
      </c>
      <c r="I57" s="147">
        <v>345137</v>
      </c>
      <c r="J57" s="145">
        <v>293</v>
      </c>
      <c r="K57" s="147">
        <v>47726</v>
      </c>
      <c r="L57" s="145">
        <v>4869</v>
      </c>
      <c r="M57" s="147">
        <v>16649945</v>
      </c>
      <c r="N57" s="145">
        <v>4659</v>
      </c>
      <c r="O57" s="159">
        <v>124</v>
      </c>
      <c r="P57" s="159">
        <v>7</v>
      </c>
      <c r="Q57" s="160">
        <v>4790</v>
      </c>
      <c r="R57" s="96" t="s">
        <v>140</v>
      </c>
    </row>
    <row r="58" spans="1:18" ht="25.5" customHeight="1">
      <c r="A58" s="95" t="s">
        <v>141</v>
      </c>
      <c r="B58" s="145">
        <f>_xlfn.COMPOUNDVALUE(565)</f>
        <v>1872</v>
      </c>
      <c r="C58" s="146">
        <v>8545453</v>
      </c>
      <c r="D58" s="145">
        <f>_xlfn.COMPOUNDVALUE(566)</f>
        <v>1135</v>
      </c>
      <c r="E58" s="146">
        <v>513663</v>
      </c>
      <c r="F58" s="145">
        <f>_xlfn.COMPOUNDVALUE(567)</f>
        <v>3007</v>
      </c>
      <c r="G58" s="146">
        <v>9059116</v>
      </c>
      <c r="H58" s="145">
        <f>_xlfn.COMPOUNDVALUE(568)</f>
        <v>124</v>
      </c>
      <c r="I58" s="147">
        <v>294382</v>
      </c>
      <c r="J58" s="145">
        <v>253</v>
      </c>
      <c r="K58" s="147">
        <v>29526</v>
      </c>
      <c r="L58" s="145">
        <v>3175</v>
      </c>
      <c r="M58" s="147">
        <v>8794259</v>
      </c>
      <c r="N58" s="145">
        <v>3114</v>
      </c>
      <c r="O58" s="159">
        <v>98</v>
      </c>
      <c r="P58" s="159">
        <v>9</v>
      </c>
      <c r="Q58" s="160">
        <v>3221</v>
      </c>
      <c r="R58" s="96" t="s">
        <v>142</v>
      </c>
    </row>
    <row r="59" spans="1:18" ht="25.5" customHeight="1">
      <c r="A59" s="95" t="s">
        <v>143</v>
      </c>
      <c r="B59" s="145">
        <f>_xlfn.COMPOUNDVALUE(569)</f>
        <v>2897</v>
      </c>
      <c r="C59" s="146">
        <v>12833793</v>
      </c>
      <c r="D59" s="145">
        <f>_xlfn.COMPOUNDVALUE(570)</f>
        <v>2027</v>
      </c>
      <c r="E59" s="146">
        <v>1065777</v>
      </c>
      <c r="F59" s="145">
        <f>_xlfn.COMPOUNDVALUE(571)</f>
        <v>4924</v>
      </c>
      <c r="G59" s="146">
        <v>13899570</v>
      </c>
      <c r="H59" s="145">
        <f>_xlfn.COMPOUNDVALUE(572)</f>
        <v>195</v>
      </c>
      <c r="I59" s="147">
        <v>569560</v>
      </c>
      <c r="J59" s="145">
        <v>370</v>
      </c>
      <c r="K59" s="147">
        <v>78960</v>
      </c>
      <c r="L59" s="145">
        <v>5243</v>
      </c>
      <c r="M59" s="147">
        <v>13408970</v>
      </c>
      <c r="N59" s="145">
        <v>5140</v>
      </c>
      <c r="O59" s="159">
        <v>140</v>
      </c>
      <c r="P59" s="159">
        <v>12</v>
      </c>
      <c r="Q59" s="160">
        <v>5292</v>
      </c>
      <c r="R59" s="96" t="s">
        <v>144</v>
      </c>
    </row>
    <row r="60" spans="1:18" ht="25.5" customHeight="1">
      <c r="A60" s="95" t="s">
        <v>145</v>
      </c>
      <c r="B60" s="145">
        <f>_xlfn.COMPOUNDVALUE(573)</f>
        <v>1120</v>
      </c>
      <c r="C60" s="146">
        <v>3247045</v>
      </c>
      <c r="D60" s="145">
        <f>_xlfn.COMPOUNDVALUE(574)</f>
        <v>824</v>
      </c>
      <c r="E60" s="146">
        <v>341416</v>
      </c>
      <c r="F60" s="145">
        <f>_xlfn.COMPOUNDVALUE(575)</f>
        <v>1944</v>
      </c>
      <c r="G60" s="146">
        <v>3588461</v>
      </c>
      <c r="H60" s="145">
        <f>_xlfn.COMPOUNDVALUE(576)</f>
        <v>44</v>
      </c>
      <c r="I60" s="147">
        <v>148482</v>
      </c>
      <c r="J60" s="145">
        <v>143</v>
      </c>
      <c r="K60" s="147">
        <v>22927</v>
      </c>
      <c r="L60" s="145">
        <v>2031</v>
      </c>
      <c r="M60" s="147">
        <v>3462906</v>
      </c>
      <c r="N60" s="145">
        <v>1870</v>
      </c>
      <c r="O60" s="159">
        <v>30</v>
      </c>
      <c r="P60" s="159">
        <v>2</v>
      </c>
      <c r="Q60" s="160">
        <v>1902</v>
      </c>
      <c r="R60" s="96" t="s">
        <v>146</v>
      </c>
    </row>
    <row r="61" spans="1:18" ht="25.5" customHeight="1">
      <c r="A61" s="97" t="s">
        <v>147</v>
      </c>
      <c r="B61" s="148">
        <v>23780</v>
      </c>
      <c r="C61" s="149">
        <v>121212449</v>
      </c>
      <c r="D61" s="148">
        <v>15879</v>
      </c>
      <c r="E61" s="149">
        <v>7622890</v>
      </c>
      <c r="F61" s="148">
        <v>39659</v>
      </c>
      <c r="G61" s="149">
        <v>128835339</v>
      </c>
      <c r="H61" s="148">
        <v>1637</v>
      </c>
      <c r="I61" s="150">
        <v>23327260</v>
      </c>
      <c r="J61" s="148">
        <v>2837</v>
      </c>
      <c r="K61" s="150">
        <v>175276</v>
      </c>
      <c r="L61" s="148">
        <v>41954</v>
      </c>
      <c r="M61" s="150">
        <v>105683355</v>
      </c>
      <c r="N61" s="148">
        <v>40838</v>
      </c>
      <c r="O61" s="151">
        <v>1057</v>
      </c>
      <c r="P61" s="151">
        <v>87</v>
      </c>
      <c r="Q61" s="152">
        <v>41982</v>
      </c>
      <c r="R61" s="98" t="s">
        <v>148</v>
      </c>
    </row>
    <row r="62" spans="1:18" ht="25.5" customHeight="1" thickBot="1">
      <c r="A62" s="103"/>
      <c r="B62" s="161"/>
      <c r="C62" s="162"/>
      <c r="D62" s="161"/>
      <c r="E62" s="162"/>
      <c r="F62" s="163"/>
      <c r="G62" s="162"/>
      <c r="H62" s="163"/>
      <c r="I62" s="162"/>
      <c r="J62" s="163"/>
      <c r="K62" s="162"/>
      <c r="L62" s="163"/>
      <c r="M62" s="162"/>
      <c r="N62" s="164"/>
      <c r="O62" s="165"/>
      <c r="P62" s="165"/>
      <c r="Q62" s="166"/>
      <c r="R62" s="104" t="s">
        <v>44</v>
      </c>
    </row>
    <row r="63" spans="1:18" ht="25.5" customHeight="1" thickBot="1" thickTop="1">
      <c r="A63" s="105" t="s">
        <v>43</v>
      </c>
      <c r="B63" s="167">
        <v>214125</v>
      </c>
      <c r="C63" s="168">
        <v>1522253881</v>
      </c>
      <c r="D63" s="167">
        <v>150916</v>
      </c>
      <c r="E63" s="168">
        <v>74322826</v>
      </c>
      <c r="F63" s="167">
        <v>365041</v>
      </c>
      <c r="G63" s="168">
        <v>1596576707</v>
      </c>
      <c r="H63" s="167">
        <v>15864</v>
      </c>
      <c r="I63" s="169">
        <v>585015195</v>
      </c>
      <c r="J63" s="167">
        <v>24663</v>
      </c>
      <c r="K63" s="169">
        <v>4121571</v>
      </c>
      <c r="L63" s="167">
        <v>385868</v>
      </c>
      <c r="M63" s="169">
        <v>1015683083</v>
      </c>
      <c r="N63" s="170">
        <v>377688</v>
      </c>
      <c r="O63" s="171">
        <v>9381</v>
      </c>
      <c r="P63" s="171">
        <v>1112</v>
      </c>
      <c r="Q63" s="172">
        <v>388181</v>
      </c>
      <c r="R63" s="106" t="s">
        <v>43</v>
      </c>
    </row>
    <row r="64" spans="1:9" ht="25.5" customHeight="1">
      <c r="A64" s="107" t="s">
        <v>227</v>
      </c>
      <c r="B64" s="107"/>
      <c r="C64" s="107"/>
      <c r="D64" s="107"/>
      <c r="E64" s="107"/>
      <c r="F64" s="107"/>
      <c r="G64" s="107"/>
      <c r="H64" s="107"/>
      <c r="I64" s="107"/>
    </row>
  </sheetData>
  <sheetProtection/>
  <mergeCells count="15">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horizontalCentered="1"/>
  <pageMargins left="0.11811023622047245" right="0.11811023622047245" top="0.7480314960629921" bottom="0.7480314960629921" header="0.31496062992125984" footer="0.31496062992125984"/>
  <pageSetup horizontalDpi="600" verticalDpi="600" orientation="portrait" paperSize="9" scale="48" r:id="rId1"/>
  <headerFooter alignWithMargins="0">
    <oddFooter>&amp;R名古屋国税局　消費税（H28）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
  <cp:lastPrinted>2018-06-04T07:17:06Z</cp:lastPrinted>
  <dcterms:created xsi:type="dcterms:W3CDTF">2003-07-09T01:05:10Z</dcterms:created>
  <dcterms:modified xsi:type="dcterms:W3CDTF">2018-06-12T02:11:01Z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