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6994960E-BAAF-4E1B-92EC-5AF5455BF813}" xr6:coauthVersionLast="47" xr6:coauthVersionMax="47" xr10:uidLastSave="{00000000-0000-0000-0000-000000000000}"/>
  <bookViews>
    <workbookView xWindow="-28920" yWindow="-120" windowWidth="29040" windowHeight="15720" xr2:uid="{00000000-000D-0000-FFFF-FFFF00000000}"/>
  </bookViews>
  <sheets>
    <sheet name="○号" sheetId="18" r:id="rId1"/>
    <sheet name="各種計算式等（配付時非表示）" sheetId="9" state="hidden" r:id="rId2"/>
  </sheets>
  <definedNames>
    <definedName name="_xlnm.Print_Area" localSheetId="0">○号!$A$1:$BF$226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59" i="18" l="1"/>
  <c r="AR258" i="18"/>
  <c r="AR257" i="18"/>
  <c r="AR256" i="18"/>
  <c r="AR255" i="18"/>
  <c r="AR254" i="18"/>
  <c r="AR253" i="18"/>
  <c r="AR252" i="18"/>
  <c r="BB91" i="18"/>
  <c r="AY91" i="18"/>
  <c r="AV91" i="18"/>
  <c r="AS91" i="18"/>
  <c r="AP91" i="18"/>
  <c r="AM91" i="18"/>
  <c r="AK91" i="18"/>
  <c r="AH91" i="18"/>
  <c r="AE91" i="18"/>
  <c r="AB91" i="18"/>
  <c r="Z91" i="18"/>
  <c r="X91" i="18"/>
  <c r="V91" i="18"/>
  <c r="T91" i="18"/>
  <c r="R91" i="18"/>
  <c r="BB90" i="18"/>
  <c r="AY90" i="18"/>
  <c r="AV90" i="18"/>
  <c r="AS90" i="18"/>
  <c r="AP90" i="18"/>
  <c r="AM90" i="18"/>
  <c r="AK90" i="18"/>
  <c r="AH90" i="18"/>
  <c r="AE90" i="18"/>
  <c r="AB90" i="18"/>
  <c r="Z90" i="18"/>
  <c r="X90" i="18"/>
  <c r="V90" i="18"/>
  <c r="T90" i="18"/>
  <c r="R90" i="18"/>
  <c r="BB89" i="18"/>
  <c r="AY89" i="18"/>
  <c r="AV89" i="18"/>
  <c r="AS89" i="18"/>
  <c r="AP89" i="18"/>
  <c r="AM89" i="18"/>
  <c r="AK89" i="18"/>
  <c r="AH89" i="18"/>
  <c r="AE89" i="18"/>
  <c r="AB89" i="18"/>
  <c r="Z89" i="18"/>
  <c r="X89" i="18"/>
  <c r="V89" i="18"/>
  <c r="T89" i="18"/>
  <c r="R89" i="18"/>
  <c r="BB88" i="18"/>
  <c r="AY88" i="18"/>
  <c r="AV88" i="18"/>
  <c r="AS88" i="18"/>
  <c r="AP88" i="18"/>
  <c r="AM88" i="18"/>
  <c r="AK88" i="18"/>
  <c r="AH88" i="18"/>
  <c r="AE88" i="18"/>
  <c r="AB88" i="18"/>
  <c r="Z88" i="18"/>
  <c r="X88" i="18"/>
  <c r="V88" i="18"/>
  <c r="T88" i="18"/>
  <c r="R88" i="18"/>
  <c r="BB87" i="18"/>
  <c r="AY87" i="18"/>
  <c r="AV87" i="18"/>
  <c r="AS87" i="18"/>
  <c r="AP87" i="18"/>
  <c r="AM87" i="18"/>
  <c r="AK87" i="18"/>
  <c r="AH87" i="18"/>
  <c r="AE87" i="18"/>
  <c r="AB87" i="18"/>
  <c r="Z87" i="18"/>
  <c r="X87" i="18"/>
  <c r="V87" i="18"/>
  <c r="T87" i="18"/>
  <c r="R87" i="18"/>
  <c r="BB86" i="18"/>
  <c r="AY86" i="18"/>
  <c r="AV86" i="18"/>
  <c r="AS86" i="18"/>
  <c r="AP86" i="18"/>
  <c r="AM86" i="18"/>
  <c r="AK86" i="18"/>
  <c r="AH86" i="18"/>
  <c r="AE86" i="18"/>
  <c r="AB86" i="18"/>
  <c r="Z86" i="18"/>
  <c r="X86" i="18"/>
  <c r="V86" i="18"/>
  <c r="T86" i="18"/>
  <c r="R86" i="18"/>
  <c r="BB85" i="18"/>
  <c r="AY85" i="18"/>
  <c r="AV85" i="18"/>
  <c r="AS85" i="18"/>
  <c r="AP85" i="18"/>
  <c r="AM85" i="18"/>
  <c r="AK85" i="18"/>
  <c r="AH85" i="18"/>
  <c r="AE85" i="18"/>
  <c r="AB85" i="18"/>
  <c r="Z85" i="18"/>
  <c r="X85" i="18"/>
  <c r="V85" i="18"/>
  <c r="T85" i="18"/>
  <c r="R85" i="18"/>
  <c r="BB84" i="18"/>
  <c r="AY84" i="18"/>
  <c r="AV84" i="18"/>
  <c r="AS84" i="18"/>
  <c r="AP84" i="18"/>
  <c r="AM84" i="18"/>
  <c r="AK84" i="18"/>
  <c r="AH84" i="18"/>
  <c r="AE84" i="18"/>
  <c r="AB84" i="18"/>
  <c r="Z84" i="18"/>
  <c r="X84" i="18"/>
  <c r="V84" i="18"/>
  <c r="T84" i="18"/>
  <c r="R84" i="18"/>
  <c r="F237" i="18" l="1"/>
  <c r="H237" i="18"/>
  <c r="I237" i="18"/>
  <c r="J237" i="18"/>
  <c r="K237" i="18"/>
  <c r="L237" i="18"/>
  <c r="M237" i="18"/>
  <c r="N237" i="18"/>
  <c r="O237" i="18"/>
  <c r="P237" i="18"/>
  <c r="Q237" i="18"/>
  <c r="S237" i="18"/>
  <c r="T237" i="18"/>
  <c r="U237" i="18"/>
  <c r="V237" i="18"/>
  <c r="W237" i="18"/>
  <c r="X237" i="18"/>
  <c r="Y237" i="18"/>
  <c r="Z237" i="18"/>
  <c r="AA237" i="18"/>
  <c r="AB237" i="18"/>
  <c r="AC237" i="18"/>
  <c r="AD237" i="18"/>
  <c r="AE237" i="18"/>
  <c r="AF237" i="18"/>
  <c r="AG237" i="18"/>
  <c r="AH237" i="18"/>
  <c r="AI237" i="18"/>
  <c r="AJ237" i="18"/>
  <c r="AK237" i="18"/>
  <c r="AL237" i="18"/>
  <c r="AM237" i="18"/>
  <c r="AN237" i="18"/>
  <c r="AO237" i="18"/>
  <c r="AP237" i="18"/>
  <c r="AQ237" i="18"/>
  <c r="E237" i="18"/>
  <c r="AZ163" i="18"/>
  <c r="BA163" i="18"/>
  <c r="BB163" i="18"/>
  <c r="BC163" i="18"/>
  <c r="BD163" i="18"/>
  <c r="BE163" i="18"/>
  <c r="AJ163" i="18"/>
  <c r="AK163" i="18"/>
  <c r="AL163" i="18"/>
  <c r="AM163" i="18"/>
  <c r="AN163" i="18"/>
  <c r="AO163" i="18"/>
  <c r="AP163" i="18"/>
  <c r="AQ163" i="18"/>
  <c r="AR163" i="18"/>
  <c r="AS163" i="18"/>
  <c r="AT163" i="18"/>
  <c r="AU163" i="18"/>
  <c r="AV163" i="18"/>
  <c r="AW163" i="18"/>
  <c r="AX163" i="18"/>
  <c r="AY163" i="18"/>
  <c r="Z163" i="18"/>
  <c r="AA163" i="18"/>
  <c r="AB163" i="18"/>
  <c r="AC163" i="18"/>
  <c r="AD163" i="18"/>
  <c r="AE163" i="18"/>
  <c r="AF163" i="18"/>
  <c r="AG163" i="18"/>
  <c r="AH163" i="18"/>
  <c r="AI163" i="18"/>
  <c r="M163" i="18"/>
  <c r="N163" i="18"/>
  <c r="O163" i="18"/>
  <c r="P163" i="18"/>
  <c r="Q163" i="18"/>
  <c r="R163" i="18"/>
  <c r="S163" i="18"/>
  <c r="T163" i="18"/>
  <c r="U163" i="18"/>
  <c r="V163" i="18"/>
  <c r="W163" i="18"/>
  <c r="X163" i="18"/>
  <c r="Y163" i="18"/>
  <c r="E163" i="18"/>
  <c r="F163" i="18"/>
  <c r="G163" i="18"/>
  <c r="H163" i="18"/>
  <c r="I163" i="18"/>
  <c r="J163" i="18"/>
  <c r="K163" i="18"/>
  <c r="L163" i="18"/>
  <c r="Z353" i="18" l="1"/>
  <c r="Z354" i="18"/>
  <c r="Z355" i="18"/>
  <c r="Z356" i="18"/>
  <c r="Z357" i="18"/>
  <c r="Z358" i="18"/>
  <c r="Z359" i="18"/>
  <c r="Z352" i="18"/>
  <c r="X353" i="18"/>
  <c r="X354" i="18"/>
  <c r="X355" i="18"/>
  <c r="X356" i="18"/>
  <c r="X357" i="18"/>
  <c r="X358" i="18"/>
  <c r="X359" i="18"/>
  <c r="X352" i="18"/>
  <c r="E352" i="18"/>
  <c r="O352" i="18"/>
  <c r="M353" i="18"/>
  <c r="M354" i="18"/>
  <c r="M355" i="18"/>
  <c r="M356" i="18"/>
  <c r="M357" i="18"/>
  <c r="M358" i="18"/>
  <c r="M359" i="18"/>
  <c r="M352" i="18"/>
  <c r="K353" i="18"/>
  <c r="K354" i="18"/>
  <c r="K355" i="18"/>
  <c r="K356" i="18"/>
  <c r="K357" i="18"/>
  <c r="K358" i="18"/>
  <c r="K359" i="18"/>
  <c r="K352" i="18"/>
  <c r="I353" i="18"/>
  <c r="I354" i="18"/>
  <c r="I355" i="18"/>
  <c r="I356" i="18"/>
  <c r="I357" i="18"/>
  <c r="I358" i="18"/>
  <c r="I359" i="18"/>
  <c r="I352" i="18"/>
  <c r="G354" i="18"/>
  <c r="G353" i="18"/>
  <c r="G355" i="18"/>
  <c r="G356" i="18"/>
  <c r="G357" i="18"/>
  <c r="G358" i="18"/>
  <c r="G359" i="18"/>
  <c r="G352" i="18"/>
  <c r="B136" i="18" l="1" a="1"/>
  <c r="B136" i="18" s="1"/>
  <c r="E136" i="18" a="1"/>
  <c r="E136" i="18" s="1"/>
  <c r="V142" i="18"/>
  <c r="D163" i="18"/>
  <c r="S169" i="18"/>
  <c r="W169" i="18"/>
  <c r="X169" i="18"/>
  <c r="Y169" i="18"/>
  <c r="Y178" i="18" s="1"/>
  <c r="Z169" i="18"/>
  <c r="AA169" i="18"/>
  <c r="AB169" i="18"/>
  <c r="AB178" i="18" s="1"/>
  <c r="AC169" i="18"/>
  <c r="AC178" i="18" s="1"/>
  <c r="AE169" i="18"/>
  <c r="AG169" i="18"/>
  <c r="AH169" i="18"/>
  <c r="AI169" i="18"/>
  <c r="AJ169" i="18"/>
  <c r="AJ178" i="18" s="1"/>
  <c r="AK169" i="18"/>
  <c r="AK178" i="18" s="1"/>
  <c r="AL169" i="18"/>
  <c r="AM169" i="18"/>
  <c r="AO169" i="18"/>
  <c r="AP169" i="18"/>
  <c r="AQ169" i="18"/>
  <c r="AR169" i="18"/>
  <c r="AS169" i="18"/>
  <c r="AS178" i="18" s="1"/>
  <c r="AT169" i="18"/>
  <c r="AU169" i="18"/>
  <c r="AV169" i="18"/>
  <c r="AV178" i="18" s="1"/>
  <c r="AX178" i="18"/>
  <c r="AY169" i="18"/>
  <c r="BB178" i="18"/>
  <c r="BC169" i="18"/>
  <c r="S164" i="18"/>
  <c r="T164" i="18"/>
  <c r="U164" i="18"/>
  <c r="V164" i="18"/>
  <c r="W164" i="18"/>
  <c r="X164" i="18"/>
  <c r="Y164" i="18"/>
  <c r="Z164" i="18"/>
  <c r="AA164" i="18"/>
  <c r="AB164" i="18"/>
  <c r="AC164" i="18"/>
  <c r="AD164" i="18"/>
  <c r="AE164" i="18"/>
  <c r="AF164" i="18"/>
  <c r="AG164" i="18"/>
  <c r="AH164" i="18"/>
  <c r="AI164" i="18"/>
  <c r="AJ164" i="18"/>
  <c r="AK164" i="18"/>
  <c r="AL164" i="18"/>
  <c r="AM164" i="18"/>
  <c r="AN164" i="18"/>
  <c r="AO164" i="18"/>
  <c r="AP164" i="18"/>
  <c r="AQ164" i="18"/>
  <c r="AR164" i="18"/>
  <c r="AS164" i="18"/>
  <c r="AT164" i="18"/>
  <c r="AU164" i="18"/>
  <c r="AV164" i="18"/>
  <c r="AW164" i="18"/>
  <c r="AX164" i="18"/>
  <c r="AY164" i="18"/>
  <c r="AZ164" i="18"/>
  <c r="BA164" i="18"/>
  <c r="BB164" i="18"/>
  <c r="BC164" i="18"/>
  <c r="BD164" i="18"/>
  <c r="BE164" i="18"/>
  <c r="S165" i="18"/>
  <c r="T165" i="18"/>
  <c r="U165" i="18"/>
  <c r="V165" i="18"/>
  <c r="W165" i="18"/>
  <c r="S166" i="18"/>
  <c r="T166" i="18"/>
  <c r="U166" i="18"/>
  <c r="V166" i="18"/>
  <c r="W166" i="18"/>
  <c r="S167" i="18"/>
  <c r="T169" i="18"/>
  <c r="T178" i="18" s="1"/>
  <c r="U169" i="18"/>
  <c r="U178" i="18" s="1"/>
  <c r="V169" i="18"/>
  <c r="AF169" i="18"/>
  <c r="AW169" i="18"/>
  <c r="AX169" i="18"/>
  <c r="AZ169" i="18"/>
  <c r="BA169" i="18"/>
  <c r="BB169" i="18"/>
  <c r="BD169" i="18"/>
  <c r="BE169" i="18"/>
  <c r="S170" i="18"/>
  <c r="T170" i="18"/>
  <c r="U170" i="18"/>
  <c r="V170" i="18"/>
  <c r="W170" i="18"/>
  <c r="X170" i="18"/>
  <c r="Y170" i="18"/>
  <c r="Z170" i="18"/>
  <c r="AA170" i="18"/>
  <c r="AB170" i="18"/>
  <c r="AC170" i="18"/>
  <c r="AD170" i="18"/>
  <c r="AE170" i="18"/>
  <c r="AF170" i="18"/>
  <c r="AG170" i="18"/>
  <c r="AH170" i="18"/>
  <c r="AI170" i="18"/>
  <c r="AJ170" i="18"/>
  <c r="AK170" i="18"/>
  <c r="AL170" i="18"/>
  <c r="AM170" i="18"/>
  <c r="AN170" i="18"/>
  <c r="AO170" i="18"/>
  <c r="AP170" i="18"/>
  <c r="AQ170" i="18"/>
  <c r="AR170" i="18"/>
  <c r="AS170" i="18"/>
  <c r="AT170" i="18"/>
  <c r="AU170" i="18"/>
  <c r="AV170" i="18"/>
  <c r="AW170" i="18"/>
  <c r="AX170" i="18"/>
  <c r="AY170" i="18"/>
  <c r="AZ170" i="18"/>
  <c r="BA170" i="18"/>
  <c r="BB170" i="18"/>
  <c r="BC170" i="18"/>
  <c r="BD170" i="18"/>
  <c r="BE170" i="18"/>
  <c r="S172" i="18"/>
  <c r="T172" i="18"/>
  <c r="U172" i="18"/>
  <c r="V172" i="18"/>
  <c r="W172" i="18"/>
  <c r="X172" i="18"/>
  <c r="Y172" i="18"/>
  <c r="Z172" i="18"/>
  <c r="AA172" i="18"/>
  <c r="AB172" i="18"/>
  <c r="AC172" i="18"/>
  <c r="AD172" i="18"/>
  <c r="AE172" i="18"/>
  <c r="AF172" i="18"/>
  <c r="AG172" i="18"/>
  <c r="AH172" i="18"/>
  <c r="AI172" i="18"/>
  <c r="AJ172" i="18"/>
  <c r="AK172" i="18"/>
  <c r="AL172" i="18"/>
  <c r="AM172" i="18"/>
  <c r="AN172" i="18"/>
  <c r="AO172" i="18"/>
  <c r="AP172" i="18"/>
  <c r="AQ172" i="18"/>
  <c r="AR172" i="18"/>
  <c r="AS172" i="18"/>
  <c r="AT172" i="18"/>
  <c r="AU172" i="18"/>
  <c r="AV172" i="18"/>
  <c r="AW172" i="18"/>
  <c r="AX172" i="18"/>
  <c r="AY172" i="18"/>
  <c r="AZ172" i="18"/>
  <c r="BA172" i="18"/>
  <c r="BB172" i="18"/>
  <c r="BC172" i="18"/>
  <c r="BD172" i="18"/>
  <c r="BE172" i="18"/>
  <c r="S173" i="18"/>
  <c r="T173" i="18"/>
  <c r="U173" i="18"/>
  <c r="V173" i="18"/>
  <c r="W173" i="18"/>
  <c r="S174" i="18"/>
  <c r="T174" i="18"/>
  <c r="U174" i="18"/>
  <c r="V174" i="18"/>
  <c r="W174" i="18"/>
  <c r="S177" i="18"/>
  <c r="T177" i="18"/>
  <c r="U177" i="18"/>
  <c r="V177" i="18"/>
  <c r="W177" i="18"/>
  <c r="X177" i="18"/>
  <c r="Y177" i="18"/>
  <c r="Z177" i="18"/>
  <c r="AA177" i="18"/>
  <c r="AB177" i="18"/>
  <c r="AC177" i="18"/>
  <c r="AD177" i="18"/>
  <c r="AE177" i="18"/>
  <c r="AF177" i="18"/>
  <c r="AG177" i="18"/>
  <c r="AH177" i="18"/>
  <c r="AI177" i="18"/>
  <c r="AJ177" i="18"/>
  <c r="AK177" i="18"/>
  <c r="AL177" i="18"/>
  <c r="AM177" i="18"/>
  <c r="AN177" i="18"/>
  <c r="AO177" i="18"/>
  <c r="AP177" i="18"/>
  <c r="AQ177" i="18"/>
  <c r="AR177" i="18"/>
  <c r="AS177" i="18"/>
  <c r="AT177" i="18"/>
  <c r="AU177" i="18"/>
  <c r="AV177" i="18"/>
  <c r="AW177" i="18"/>
  <c r="AX177" i="18"/>
  <c r="AY177" i="18"/>
  <c r="AZ177" i="18"/>
  <c r="BA177" i="18"/>
  <c r="BB177" i="18"/>
  <c r="BC177" i="18"/>
  <c r="BD177" i="18"/>
  <c r="BE177" i="18"/>
  <c r="X178" i="18"/>
  <c r="AW178" i="18"/>
  <c r="AZ178" i="18"/>
  <c r="BA178" i="18"/>
  <c r="BD178" i="18"/>
  <c r="BE178" i="18"/>
  <c r="S179" i="18"/>
  <c r="T179" i="18"/>
  <c r="U179" i="18"/>
  <c r="V179" i="18"/>
  <c r="W179" i="18"/>
  <c r="X179" i="18"/>
  <c r="Y179" i="18"/>
  <c r="Z179" i="18"/>
  <c r="AA179" i="18"/>
  <c r="AB179" i="18"/>
  <c r="AC179" i="18"/>
  <c r="AD179" i="18"/>
  <c r="AE179" i="18"/>
  <c r="AF179" i="18"/>
  <c r="AG179" i="18"/>
  <c r="AH179" i="18"/>
  <c r="AI179" i="18"/>
  <c r="AJ179" i="18"/>
  <c r="AK179" i="18"/>
  <c r="AL179" i="18"/>
  <c r="AM179" i="18"/>
  <c r="AN179" i="18"/>
  <c r="AO179" i="18"/>
  <c r="AP179" i="18"/>
  <c r="AQ179" i="18"/>
  <c r="AR179" i="18"/>
  <c r="AS179" i="18"/>
  <c r="AT179" i="18"/>
  <c r="AU179" i="18"/>
  <c r="AV179" i="18"/>
  <c r="AW179" i="18"/>
  <c r="AX179" i="18"/>
  <c r="AY179" i="18"/>
  <c r="AZ179" i="18"/>
  <c r="BA179" i="18"/>
  <c r="BB179" i="18"/>
  <c r="BC179" i="18"/>
  <c r="BD179" i="18"/>
  <c r="BE179" i="18"/>
  <c r="S183" i="18"/>
  <c r="T183" i="18"/>
  <c r="U183" i="18"/>
  <c r="V183" i="18"/>
  <c r="W183" i="18"/>
  <c r="AB183" i="18"/>
  <c r="AC183" i="18"/>
  <c r="AD183" i="18"/>
  <c r="AE183" i="18"/>
  <c r="AF183" i="18"/>
  <c r="S184" i="18"/>
  <c r="T184" i="18"/>
  <c r="U184" i="18"/>
  <c r="V184" i="18"/>
  <c r="W184" i="18"/>
  <c r="AB184" i="18"/>
  <c r="AC184" i="18"/>
  <c r="AD184" i="18"/>
  <c r="AE184" i="18"/>
  <c r="AF184" i="18"/>
  <c r="S185" i="18"/>
  <c r="T185" i="18"/>
  <c r="U185" i="18"/>
  <c r="V185" i="18"/>
  <c r="W185" i="18"/>
  <c r="AB185" i="18"/>
  <c r="AC185" i="18"/>
  <c r="AD185" i="18"/>
  <c r="AE185" i="18"/>
  <c r="AF185" i="18"/>
  <c r="S186" i="18"/>
  <c r="T186" i="18"/>
  <c r="U186" i="18"/>
  <c r="V186" i="18"/>
  <c r="W186" i="18"/>
  <c r="AB186" i="18"/>
  <c r="AC186" i="18"/>
  <c r="AD186" i="18"/>
  <c r="AE186" i="18"/>
  <c r="AF186" i="18"/>
  <c r="L136" i="18" a="1"/>
  <c r="L136" i="18" s="1"/>
  <c r="M136" i="18" a="1"/>
  <c r="M136" i="18" s="1"/>
  <c r="N136" i="18" a="1"/>
  <c r="N136" i="18" s="1"/>
  <c r="O136" i="18" a="1"/>
  <c r="O136" i="18" s="1"/>
  <c r="P136" i="18" a="1"/>
  <c r="P136" i="18" s="1"/>
  <c r="Q136" i="18" a="1"/>
  <c r="Q136" i="18" s="1"/>
  <c r="R136" i="18" a="1"/>
  <c r="R136" i="18" s="1"/>
  <c r="S136" i="18" a="1"/>
  <c r="S136" i="18" s="1"/>
  <c r="T136" i="18" a="1"/>
  <c r="T136" i="18" s="1"/>
  <c r="U136" i="18" a="1"/>
  <c r="U136" i="18" s="1"/>
  <c r="L137" i="18" a="1"/>
  <c r="L137" i="18" s="1"/>
  <c r="M137" i="18" a="1"/>
  <c r="M137" i="18" s="1"/>
  <c r="N137" i="18" a="1"/>
  <c r="N137" i="18" s="1"/>
  <c r="O137" i="18" a="1"/>
  <c r="O137" i="18" s="1"/>
  <c r="P137" i="18" a="1"/>
  <c r="P137" i="18" s="1"/>
  <c r="Q137" i="18" a="1"/>
  <c r="Q137" i="18" s="1"/>
  <c r="R137" i="18" a="1"/>
  <c r="R137" i="18" s="1"/>
  <c r="S137" i="18" a="1"/>
  <c r="S137" i="18" s="1"/>
  <c r="T137" i="18" a="1"/>
  <c r="T137" i="18" s="1"/>
  <c r="U137" i="18" a="1"/>
  <c r="U137" i="18" s="1"/>
  <c r="AF178" i="18" l="1"/>
  <c r="AR178" i="18"/>
  <c r="AN169" i="18"/>
  <c r="AN178" i="18" s="1"/>
  <c r="AO178" i="18"/>
  <c r="AG178" i="18"/>
  <c r="AT178" i="18"/>
  <c r="AP178" i="18"/>
  <c r="AL178" i="18"/>
  <c r="AH178" i="18"/>
  <c r="Z178" i="18"/>
  <c r="V178" i="18"/>
  <c r="AD169" i="18"/>
  <c r="AD178" i="18" s="1"/>
  <c r="BC178" i="18"/>
  <c r="AY178" i="18"/>
  <c r="AU178" i="18"/>
  <c r="AQ178" i="18"/>
  <c r="AM178" i="18"/>
  <c r="AI178" i="18"/>
  <c r="AE178" i="18"/>
  <c r="AA178" i="18"/>
  <c r="W178" i="18"/>
  <c r="S178" i="18"/>
  <c r="AQ222" i="18"/>
  <c r="AP222" i="18"/>
  <c r="AO222" i="18"/>
  <c r="AN222" i="18"/>
  <c r="AM222" i="18"/>
  <c r="AL222" i="18"/>
  <c r="AK222" i="18"/>
  <c r="AJ222" i="18"/>
  <c r="AI222" i="18"/>
  <c r="AH222" i="18"/>
  <c r="AG222" i="18"/>
  <c r="AF222" i="18"/>
  <c r="AE222" i="18"/>
  <c r="AD222" i="18"/>
  <c r="AC222" i="18"/>
  <c r="AB222" i="18"/>
  <c r="AA222" i="18"/>
  <c r="Z222" i="18"/>
  <c r="Y222" i="18"/>
  <c r="X222" i="18"/>
  <c r="W222" i="18"/>
  <c r="V222" i="18"/>
  <c r="U222" i="18"/>
  <c r="T222" i="18"/>
  <c r="S222" i="18"/>
  <c r="R222" i="18"/>
  <c r="R237" i="18" s="1"/>
  <c r="Q222" i="18"/>
  <c r="P222" i="18"/>
  <c r="O222" i="18"/>
  <c r="N222" i="18"/>
  <c r="M222" i="18"/>
  <c r="L222" i="18"/>
  <c r="K222" i="18"/>
  <c r="J222" i="18"/>
  <c r="I222" i="18"/>
  <c r="H222" i="18"/>
  <c r="G222" i="18"/>
  <c r="G237" i="18" s="1"/>
  <c r="F222" i="18"/>
  <c r="E222" i="18"/>
  <c r="AQ221" i="18"/>
  <c r="AP221" i="18"/>
  <c r="AO221" i="18"/>
  <c r="AN221" i="18"/>
  <c r="AM221" i="18"/>
  <c r="AL221" i="18"/>
  <c r="AK221" i="18"/>
  <c r="AJ221" i="18"/>
  <c r="AI221" i="18"/>
  <c r="AH221" i="18"/>
  <c r="AG221" i="18"/>
  <c r="AF221" i="18"/>
  <c r="AE221" i="18"/>
  <c r="AD221" i="18"/>
  <c r="AC221" i="18"/>
  <c r="AB221" i="18"/>
  <c r="AA221" i="18"/>
  <c r="Z221" i="18"/>
  <c r="Y221" i="18"/>
  <c r="X221" i="18"/>
  <c r="W221" i="18"/>
  <c r="V221" i="18"/>
  <c r="U221" i="18"/>
  <c r="T221" i="18"/>
  <c r="S221" i="18"/>
  <c r="R221" i="18"/>
  <c r="Q221" i="18"/>
  <c r="P221" i="18"/>
  <c r="O221" i="18"/>
  <c r="N221" i="18"/>
  <c r="M221" i="18"/>
  <c r="L221" i="18"/>
  <c r="K221" i="18"/>
  <c r="J221" i="18"/>
  <c r="I221" i="18"/>
  <c r="H221" i="18"/>
  <c r="G221" i="18"/>
  <c r="F221" i="18"/>
  <c r="E221" i="18"/>
  <c r="AQ220" i="18"/>
  <c r="AP220" i="18"/>
  <c r="AO220" i="18"/>
  <c r="AN220" i="18"/>
  <c r="AM220" i="18"/>
  <c r="AL220" i="18"/>
  <c r="AK220" i="18"/>
  <c r="AJ220" i="18"/>
  <c r="AI220" i="18"/>
  <c r="AH220" i="18"/>
  <c r="AG220" i="18"/>
  <c r="AF220" i="18"/>
  <c r="AE220" i="18"/>
  <c r="AD220" i="18"/>
  <c r="AC220" i="18"/>
  <c r="AB220" i="18"/>
  <c r="AA220" i="18"/>
  <c r="Z220" i="18"/>
  <c r="Y220" i="18"/>
  <c r="X220" i="18"/>
  <c r="W220" i="18"/>
  <c r="V220" i="18"/>
  <c r="U220" i="18"/>
  <c r="T220" i="18"/>
  <c r="S220" i="18"/>
  <c r="R220" i="18"/>
  <c r="Q220" i="18"/>
  <c r="P220" i="18"/>
  <c r="O220" i="18"/>
  <c r="N220" i="18"/>
  <c r="M220" i="18"/>
  <c r="L220" i="18"/>
  <c r="K220" i="18"/>
  <c r="J220" i="18"/>
  <c r="I220" i="18"/>
  <c r="H220" i="18"/>
  <c r="G220" i="18"/>
  <c r="F220" i="18"/>
  <c r="E220" i="18"/>
  <c r="AQ219" i="18"/>
  <c r="AQ227" i="18" s="1"/>
  <c r="AP219" i="18"/>
  <c r="AP227" i="18" s="1"/>
  <c r="AO219" i="18"/>
  <c r="AO227" i="18" s="1"/>
  <c r="AN219" i="18"/>
  <c r="AN227" i="18" s="1"/>
  <c r="AM219" i="18"/>
  <c r="AM227" i="18" s="1"/>
  <c r="AL219" i="18"/>
  <c r="AL227" i="18" s="1"/>
  <c r="AK219" i="18"/>
  <c r="AK227" i="18" s="1"/>
  <c r="AJ219" i="18"/>
  <c r="AJ227" i="18" s="1"/>
  <c r="AI219" i="18"/>
  <c r="AI227" i="18" s="1"/>
  <c r="AH219" i="18"/>
  <c r="AH227" i="18" s="1"/>
  <c r="AG219" i="18"/>
  <c r="AG227" i="18" s="1"/>
  <c r="AF219" i="18"/>
  <c r="AF227" i="18" s="1"/>
  <c r="AE219" i="18"/>
  <c r="AE227" i="18" s="1"/>
  <c r="AD219" i="18"/>
  <c r="AD227" i="18" s="1"/>
  <c r="AC219" i="18"/>
  <c r="AC227" i="18" s="1"/>
  <c r="AB219" i="18"/>
  <c r="AB227" i="18" s="1"/>
  <c r="AA219" i="18"/>
  <c r="AA227" i="18" s="1"/>
  <c r="Z219" i="18"/>
  <c r="Z227" i="18" s="1"/>
  <c r="Y219" i="18"/>
  <c r="Y227" i="18" s="1"/>
  <c r="X219" i="18"/>
  <c r="X227" i="18" s="1"/>
  <c r="W219" i="18"/>
  <c r="W227" i="18" s="1"/>
  <c r="V219" i="18"/>
  <c r="V227" i="18" s="1"/>
  <c r="U219" i="18"/>
  <c r="U227" i="18" s="1"/>
  <c r="T219" i="18"/>
  <c r="T227" i="18" s="1"/>
  <c r="S219" i="18"/>
  <c r="S227" i="18" s="1"/>
  <c r="R219" i="18"/>
  <c r="R227" i="18" s="1"/>
  <c r="Q219" i="18"/>
  <c r="Q227" i="18" s="1"/>
  <c r="P219" i="18"/>
  <c r="P227" i="18" s="1"/>
  <c r="O219" i="18"/>
  <c r="O227" i="18" s="1"/>
  <c r="N219" i="18"/>
  <c r="N227" i="18" s="1"/>
  <c r="M219" i="18"/>
  <c r="M227" i="18" s="1"/>
  <c r="L219" i="18"/>
  <c r="L227" i="18" s="1"/>
  <c r="K219" i="18"/>
  <c r="K227" i="18" s="1"/>
  <c r="J219" i="18"/>
  <c r="J227" i="18" s="1"/>
  <c r="I219" i="18"/>
  <c r="I227" i="18" s="1"/>
  <c r="H219" i="18"/>
  <c r="H227" i="18" s="1"/>
  <c r="G219" i="18"/>
  <c r="G227" i="18" s="1"/>
  <c r="F219" i="18"/>
  <c r="E219" i="18"/>
  <c r="H216" i="18"/>
  <c r="G216" i="18"/>
  <c r="F216" i="18"/>
  <c r="E216" i="18"/>
  <c r="D216" i="18"/>
  <c r="H215" i="18"/>
  <c r="G215" i="18"/>
  <c r="F215" i="18"/>
  <c r="E215" i="18"/>
  <c r="D215" i="18"/>
  <c r="H214" i="18"/>
  <c r="G214" i="18"/>
  <c r="F214" i="18"/>
  <c r="E214" i="18"/>
  <c r="D214" i="18"/>
  <c r="J214" i="18" l="1"/>
  <c r="J215" i="18"/>
  <c r="D228" i="18"/>
  <c r="F227" i="18"/>
  <c r="I216" i="18"/>
  <c r="J216" i="18" s="1"/>
  <c r="E227" i="18"/>
  <c r="BH254" i="18"/>
  <c r="AO254" i="18" s="1"/>
  <c r="BH259" i="18"/>
  <c r="AO259" i="18" s="1"/>
  <c r="AO359" i="18" s="1"/>
  <c r="BH258" i="18"/>
  <c r="AO258" i="18" s="1"/>
  <c r="AO358" i="18" s="1"/>
  <c r="BH257" i="18"/>
  <c r="AO257" i="18" s="1"/>
  <c r="AO357" i="18" s="1"/>
  <c r="BH256" i="18"/>
  <c r="AO256" i="18" s="1"/>
  <c r="AO356" i="18" s="1"/>
  <c r="BH255" i="18"/>
  <c r="AO255" i="18" s="1"/>
  <c r="BH253" i="18"/>
  <c r="AO253" i="18" s="1"/>
  <c r="BH252" i="18"/>
  <c r="AO252" i="18" s="1"/>
  <c r="AR352" i="18" s="1"/>
  <c r="AL359" i="18"/>
  <c r="O359" i="18"/>
  <c r="AF359" i="18"/>
  <c r="E359" i="18"/>
  <c r="AC359" i="18" s="1"/>
  <c r="AL358" i="18"/>
  <c r="O358" i="18"/>
  <c r="U358" i="18"/>
  <c r="E358" i="18"/>
  <c r="AC358" i="18" s="1"/>
  <c r="AL357" i="18"/>
  <c r="O357" i="18"/>
  <c r="AF357" i="18"/>
  <c r="E357" i="18"/>
  <c r="R357" i="18" s="1"/>
  <c r="AL356" i="18"/>
  <c r="O356" i="18"/>
  <c r="AF356" i="18"/>
  <c r="E356" i="18"/>
  <c r="AC356" i="18" s="1"/>
  <c r="AL355" i="18"/>
  <c r="O355" i="18"/>
  <c r="U355" i="18"/>
  <c r="E355" i="18"/>
  <c r="AC355" i="18" s="1"/>
  <c r="AL354" i="18"/>
  <c r="O354" i="18"/>
  <c r="E354" i="18"/>
  <c r="R354" i="18" s="1"/>
  <c r="AL353" i="18"/>
  <c r="O353" i="18"/>
  <c r="AF353" i="18"/>
  <c r="E353" i="18"/>
  <c r="R353" i="18" s="1"/>
  <c r="AL352" i="18"/>
  <c r="AC352" i="18"/>
  <c r="AF352" i="18" s="1"/>
  <c r="AF351" i="18"/>
  <c r="AC351" i="18"/>
  <c r="U351" i="18"/>
  <c r="R351" i="18"/>
  <c r="AF350" i="18"/>
  <c r="AC350" i="18"/>
  <c r="U350" i="18"/>
  <c r="R350" i="18"/>
  <c r="AF349" i="18"/>
  <c r="AC349" i="18"/>
  <c r="U349" i="18"/>
  <c r="R349" i="18"/>
  <c r="AF348" i="18"/>
  <c r="AC348" i="18"/>
  <c r="U348" i="18"/>
  <c r="R348" i="18"/>
  <c r="AF347" i="18"/>
  <c r="AC347" i="18"/>
  <c r="U347" i="18"/>
  <c r="R347" i="18"/>
  <c r="AF346" i="18"/>
  <c r="AC346" i="18"/>
  <c r="U346" i="18"/>
  <c r="R346" i="18"/>
  <c r="AF345" i="18"/>
  <c r="AC345" i="18"/>
  <c r="U345" i="18"/>
  <c r="R345" i="18"/>
  <c r="AF344" i="18"/>
  <c r="AC344" i="18"/>
  <c r="U344" i="18"/>
  <c r="R344" i="18"/>
  <c r="AF343" i="18"/>
  <c r="AC343" i="18"/>
  <c r="U343" i="18"/>
  <c r="R343" i="18"/>
  <c r="AF342" i="18"/>
  <c r="AC342" i="18"/>
  <c r="U342" i="18"/>
  <c r="R342" i="18"/>
  <c r="AF341" i="18"/>
  <c r="AC341" i="18"/>
  <c r="U341" i="18"/>
  <c r="R341" i="18"/>
  <c r="AF340" i="18"/>
  <c r="AC340" i="18"/>
  <c r="U340" i="18"/>
  <c r="R340" i="18"/>
  <c r="AF339" i="18"/>
  <c r="AC339" i="18"/>
  <c r="U339" i="18"/>
  <c r="R339" i="18"/>
  <c r="AF338" i="18"/>
  <c r="AC338" i="18"/>
  <c r="U338" i="18"/>
  <c r="R338" i="18"/>
  <c r="AF337" i="18"/>
  <c r="AC337" i="18"/>
  <c r="U337" i="18"/>
  <c r="R337" i="18"/>
  <c r="AF336" i="18"/>
  <c r="AC336" i="18"/>
  <c r="U336" i="18"/>
  <c r="R336" i="18"/>
  <c r="AF335" i="18"/>
  <c r="AC335" i="18"/>
  <c r="U335" i="18"/>
  <c r="R335" i="18"/>
  <c r="AF334" i="18"/>
  <c r="AC334" i="18"/>
  <c r="U334" i="18"/>
  <c r="R334" i="18"/>
  <c r="AF333" i="18"/>
  <c r="AC333" i="18"/>
  <c r="U333" i="18"/>
  <c r="R333" i="18"/>
  <c r="AF332" i="18"/>
  <c r="AC332" i="18"/>
  <c r="U332" i="18"/>
  <c r="R332" i="18"/>
  <c r="AF331" i="18"/>
  <c r="AC331" i="18"/>
  <c r="U331" i="18"/>
  <c r="R331" i="18"/>
  <c r="AF330" i="18"/>
  <c r="AC330" i="18"/>
  <c r="U330" i="18"/>
  <c r="R330" i="18"/>
  <c r="AF329" i="18"/>
  <c r="AC329" i="18"/>
  <c r="U329" i="18"/>
  <c r="R329" i="18"/>
  <c r="AF328" i="18"/>
  <c r="AC328" i="18"/>
  <c r="U328" i="18"/>
  <c r="R328" i="18"/>
  <c r="AF327" i="18"/>
  <c r="AC327" i="18"/>
  <c r="U327" i="18"/>
  <c r="R327" i="18"/>
  <c r="AF326" i="18"/>
  <c r="AC326" i="18"/>
  <c r="U326" i="18"/>
  <c r="R326" i="18"/>
  <c r="AF325" i="18"/>
  <c r="AC325" i="18"/>
  <c r="U325" i="18"/>
  <c r="R325" i="18"/>
  <c r="AF324" i="18"/>
  <c r="AC324" i="18"/>
  <c r="U324" i="18"/>
  <c r="R324" i="18"/>
  <c r="AF323" i="18"/>
  <c r="AC323" i="18"/>
  <c r="U323" i="18"/>
  <c r="R323" i="18"/>
  <c r="AF322" i="18"/>
  <c r="AC322" i="18"/>
  <c r="U322" i="18"/>
  <c r="R322" i="18"/>
  <c r="AF321" i="18"/>
  <c r="AC321" i="18"/>
  <c r="U321" i="18"/>
  <c r="R321" i="18"/>
  <c r="AF320" i="18"/>
  <c r="AC320" i="18"/>
  <c r="U320" i="18"/>
  <c r="R320" i="18"/>
  <c r="AF319" i="18"/>
  <c r="AC319" i="18"/>
  <c r="U319" i="18"/>
  <c r="R319" i="18"/>
  <c r="AF318" i="18"/>
  <c r="AC318" i="18"/>
  <c r="U318" i="18"/>
  <c r="R318" i="18"/>
  <c r="AF317" i="18"/>
  <c r="AC317" i="18"/>
  <c r="U317" i="18"/>
  <c r="R317" i="18"/>
  <c r="AF316" i="18"/>
  <c r="AC316" i="18"/>
  <c r="U316" i="18"/>
  <c r="R316" i="18"/>
  <c r="AF315" i="18"/>
  <c r="AC315" i="18"/>
  <c r="U315" i="18"/>
  <c r="R315" i="18"/>
  <c r="AF314" i="18"/>
  <c r="AC314" i="18"/>
  <c r="U314" i="18"/>
  <c r="R314" i="18"/>
  <c r="AF313" i="18"/>
  <c r="AC313" i="18"/>
  <c r="U313" i="18"/>
  <c r="R313" i="18"/>
  <c r="AF312" i="18"/>
  <c r="AC312" i="18"/>
  <c r="U312" i="18"/>
  <c r="R312" i="18"/>
  <c r="AF311" i="18"/>
  <c r="AC311" i="18"/>
  <c r="U311" i="18"/>
  <c r="R311" i="18"/>
  <c r="AF310" i="18"/>
  <c r="AC310" i="18"/>
  <c r="U310" i="18"/>
  <c r="R310" i="18"/>
  <c r="AC309" i="18"/>
  <c r="AF309" i="18" s="1"/>
  <c r="U309" i="18"/>
  <c r="R309" i="18"/>
  <c r="AF308" i="18"/>
  <c r="AC308" i="18"/>
  <c r="U308" i="18"/>
  <c r="R308" i="18"/>
  <c r="AF307" i="18"/>
  <c r="AC307" i="18"/>
  <c r="U307" i="18"/>
  <c r="R307" i="18"/>
  <c r="AF306" i="18"/>
  <c r="AC306" i="18"/>
  <c r="U306" i="18"/>
  <c r="R306" i="18"/>
  <c r="AF305" i="18"/>
  <c r="AC305" i="18"/>
  <c r="U305" i="18"/>
  <c r="R305" i="18"/>
  <c r="AF304" i="18"/>
  <c r="AC304" i="18"/>
  <c r="U304" i="18"/>
  <c r="R304" i="18"/>
  <c r="AF303" i="18"/>
  <c r="AC303" i="18"/>
  <c r="U303" i="18"/>
  <c r="R303" i="18"/>
  <c r="AF302" i="18"/>
  <c r="AC302" i="18"/>
  <c r="U302" i="18"/>
  <c r="R302" i="18"/>
  <c r="AF301" i="18"/>
  <c r="AC301" i="18"/>
  <c r="U301" i="18"/>
  <c r="R301" i="18"/>
  <c r="AF300" i="18"/>
  <c r="AC300" i="18"/>
  <c r="U300" i="18"/>
  <c r="R300" i="18"/>
  <c r="AF299" i="18"/>
  <c r="AC299" i="18"/>
  <c r="U299" i="18"/>
  <c r="R299" i="18"/>
  <c r="AF298" i="18"/>
  <c r="AC298" i="18"/>
  <c r="U298" i="18"/>
  <c r="R298" i="18"/>
  <c r="AF297" i="18"/>
  <c r="AC297" i="18"/>
  <c r="U297" i="18"/>
  <c r="R297" i="18"/>
  <c r="AF296" i="18"/>
  <c r="AC296" i="18"/>
  <c r="U296" i="18"/>
  <c r="R296" i="18"/>
  <c r="AF295" i="18"/>
  <c r="AC295" i="18"/>
  <c r="U295" i="18"/>
  <c r="R295" i="18"/>
  <c r="AF294" i="18"/>
  <c r="AC294" i="18"/>
  <c r="U294" i="18"/>
  <c r="R294" i="18"/>
  <c r="AF293" i="18"/>
  <c r="AC293" i="18"/>
  <c r="U293" i="18"/>
  <c r="R293" i="18"/>
  <c r="AF292" i="18"/>
  <c r="AC292" i="18"/>
  <c r="U292" i="18"/>
  <c r="R292" i="18"/>
  <c r="AF291" i="18"/>
  <c r="AC291" i="18"/>
  <c r="U291" i="18"/>
  <c r="R291" i="18"/>
  <c r="AF290" i="18"/>
  <c r="AC290" i="18"/>
  <c r="U290" i="18"/>
  <c r="R290" i="18"/>
  <c r="AF289" i="18"/>
  <c r="AC289" i="18"/>
  <c r="U289" i="18"/>
  <c r="R289" i="18"/>
  <c r="AF288" i="18"/>
  <c r="AC288" i="18"/>
  <c r="U288" i="18"/>
  <c r="R288" i="18"/>
  <c r="AF287" i="18"/>
  <c r="AC287" i="18"/>
  <c r="U287" i="18"/>
  <c r="R287" i="18"/>
  <c r="AF286" i="18"/>
  <c r="AC286" i="18"/>
  <c r="U286" i="18"/>
  <c r="R286" i="18"/>
  <c r="AF285" i="18"/>
  <c r="AC285" i="18"/>
  <c r="U285" i="18"/>
  <c r="R285" i="18"/>
  <c r="AF284" i="18"/>
  <c r="AC284" i="18"/>
  <c r="U284" i="18"/>
  <c r="R284" i="18"/>
  <c r="AF283" i="18"/>
  <c r="AC283" i="18"/>
  <c r="U283" i="18"/>
  <c r="R283" i="18"/>
  <c r="AF282" i="18"/>
  <c r="AC282" i="18"/>
  <c r="U282" i="18"/>
  <c r="R282" i="18"/>
  <c r="AF281" i="18"/>
  <c r="AC281" i="18"/>
  <c r="U281" i="18"/>
  <c r="R281" i="18"/>
  <c r="AF280" i="18"/>
  <c r="AC280" i="18"/>
  <c r="U280" i="18"/>
  <c r="R280" i="18"/>
  <c r="AF279" i="18"/>
  <c r="AC279" i="18"/>
  <c r="U279" i="18"/>
  <c r="R279" i="18"/>
  <c r="AF278" i="18"/>
  <c r="AC278" i="18"/>
  <c r="U278" i="18"/>
  <c r="R278" i="18"/>
  <c r="AF277" i="18"/>
  <c r="AC277" i="18"/>
  <c r="U277" i="18"/>
  <c r="R277" i="18"/>
  <c r="AF276" i="18"/>
  <c r="AC276" i="18"/>
  <c r="U276" i="18"/>
  <c r="R276" i="18"/>
  <c r="AF275" i="18"/>
  <c r="AC275" i="18"/>
  <c r="U275" i="18"/>
  <c r="R275" i="18"/>
  <c r="AF274" i="18"/>
  <c r="AC274" i="18"/>
  <c r="U274" i="18"/>
  <c r="R274" i="18"/>
  <c r="AF273" i="18"/>
  <c r="AC273" i="18"/>
  <c r="U273" i="18"/>
  <c r="R273" i="18"/>
  <c r="AF272" i="18"/>
  <c r="AC272" i="18"/>
  <c r="U272" i="18"/>
  <c r="R272" i="18"/>
  <c r="AF271" i="18"/>
  <c r="AC271" i="18"/>
  <c r="U271" i="18"/>
  <c r="R271" i="18"/>
  <c r="AF270" i="18"/>
  <c r="AC270" i="18"/>
  <c r="U270" i="18"/>
  <c r="R270" i="18"/>
  <c r="AF269" i="18"/>
  <c r="AC269" i="18"/>
  <c r="U269" i="18"/>
  <c r="R269" i="18"/>
  <c r="AF268" i="18"/>
  <c r="AC268" i="18"/>
  <c r="U268" i="18"/>
  <c r="R268" i="18"/>
  <c r="AF267" i="18"/>
  <c r="AC267" i="18"/>
  <c r="U267" i="18"/>
  <c r="R267" i="18"/>
  <c r="AF266" i="18"/>
  <c r="AC266" i="18"/>
  <c r="U266" i="18"/>
  <c r="R266" i="18"/>
  <c r="AF265" i="18"/>
  <c r="AC265" i="18"/>
  <c r="U265" i="18"/>
  <c r="R265" i="18"/>
  <c r="AF264" i="18"/>
  <c r="AC264" i="18"/>
  <c r="U264" i="18"/>
  <c r="R264" i="18"/>
  <c r="AF263" i="18"/>
  <c r="AC263" i="18"/>
  <c r="U263" i="18"/>
  <c r="R263" i="18"/>
  <c r="AF262" i="18"/>
  <c r="AC262" i="18"/>
  <c r="U262" i="18"/>
  <c r="R262" i="18"/>
  <c r="AF261" i="18"/>
  <c r="AC261" i="18"/>
  <c r="U261" i="18"/>
  <c r="R261" i="18"/>
  <c r="AF260" i="18"/>
  <c r="AC260" i="18"/>
  <c r="U260" i="18"/>
  <c r="R260" i="18"/>
  <c r="AR359" i="18"/>
  <c r="AF259" i="18"/>
  <c r="AC259" i="18"/>
  <c r="U259" i="18"/>
  <c r="R259" i="18"/>
  <c r="AR358" i="18"/>
  <c r="AF258" i="18"/>
  <c r="AC258" i="18"/>
  <c r="U258" i="18"/>
  <c r="R258" i="18"/>
  <c r="AR357" i="18"/>
  <c r="AF257" i="18"/>
  <c r="AC257" i="18"/>
  <c r="U257" i="18"/>
  <c r="R257" i="18"/>
  <c r="AR356" i="18"/>
  <c r="AF256" i="18"/>
  <c r="AC256" i="18"/>
  <c r="U256" i="18"/>
  <c r="R256" i="18"/>
  <c r="AR355" i="18"/>
  <c r="AF255" i="18"/>
  <c r="AC255" i="18"/>
  <c r="U255" i="18"/>
  <c r="R255" i="18"/>
  <c r="AR354" i="18"/>
  <c r="AF254" i="18"/>
  <c r="AC254" i="18"/>
  <c r="U254" i="18"/>
  <c r="R254" i="18"/>
  <c r="AR353" i="18"/>
  <c r="AF253" i="18"/>
  <c r="AC253" i="18"/>
  <c r="U253" i="18"/>
  <c r="R253" i="18"/>
  <c r="AC252" i="18"/>
  <c r="AF252" i="18" s="1"/>
  <c r="R252" i="18"/>
  <c r="U252" i="18" s="1"/>
  <c r="E228" i="18" l="1"/>
  <c r="D229" i="18"/>
  <c r="D230" i="18" s="1"/>
  <c r="AO353" i="18"/>
  <c r="AO355" i="18"/>
  <c r="AO352" i="18"/>
  <c r="AO354" i="18"/>
  <c r="AC353" i="18"/>
  <c r="AC354" i="18"/>
  <c r="AF354" i="18" s="1"/>
  <c r="AF358" i="18"/>
  <c r="U354" i="18"/>
  <c r="AF355" i="18"/>
  <c r="AC357" i="18"/>
  <c r="R358" i="18"/>
  <c r="U359" i="18"/>
  <c r="R352" i="18"/>
  <c r="U352" i="18" s="1"/>
  <c r="U353" i="18"/>
  <c r="R356" i="18"/>
  <c r="U357" i="18"/>
  <c r="R355" i="18"/>
  <c r="U356" i="18"/>
  <c r="R359" i="18"/>
  <c r="E229" i="18" l="1"/>
  <c r="E230" i="18" s="1"/>
  <c r="F228" i="18"/>
  <c r="G228" i="18" l="1"/>
  <c r="F229" i="18"/>
  <c r="F230" i="18" s="1"/>
  <c r="H228" i="18" l="1"/>
  <c r="G229" i="18"/>
  <c r="G230" i="18" s="1"/>
  <c r="I228" i="18" l="1"/>
  <c r="H229" i="18"/>
  <c r="H230" i="18" s="1"/>
  <c r="I229" i="18" l="1"/>
  <c r="I230" i="18" s="1"/>
  <c r="J228" i="18"/>
  <c r="J229" i="18" l="1"/>
  <c r="J230" i="18" s="1"/>
  <c r="K228" i="18"/>
  <c r="L228" i="18" l="1"/>
  <c r="K229" i="18"/>
  <c r="K230" i="18" s="1"/>
  <c r="M228" i="18" l="1"/>
  <c r="L229" i="18"/>
  <c r="L230" i="18" s="1"/>
  <c r="M229" i="18" l="1"/>
  <c r="M230" i="18" s="1"/>
  <c r="N228" i="18"/>
  <c r="O228" i="18" l="1"/>
  <c r="N229" i="18"/>
  <c r="N230" i="18" s="1"/>
  <c r="P228" i="18" l="1"/>
  <c r="O229" i="18"/>
  <c r="O230" i="18" s="1"/>
  <c r="Q228" i="18" l="1"/>
  <c r="P229" i="18"/>
  <c r="P230" i="18" s="1"/>
  <c r="Q229" i="18" l="1"/>
  <c r="Q230" i="18" s="1"/>
  <c r="R228" i="18"/>
  <c r="R229" i="18" l="1"/>
  <c r="R230" i="18" s="1"/>
  <c r="S228" i="18"/>
  <c r="T228" i="18" l="1"/>
  <c r="S229" i="18"/>
  <c r="S230" i="18" s="1"/>
  <c r="U228" i="18" l="1"/>
  <c r="T229" i="18"/>
  <c r="T230" i="18" s="1"/>
  <c r="U229" i="18" l="1"/>
  <c r="U230" i="18" s="1"/>
  <c r="V228" i="18"/>
  <c r="W228" i="18" l="1"/>
  <c r="V229" i="18"/>
  <c r="V230" i="18" s="1"/>
  <c r="X228" i="18" l="1"/>
  <c r="W229" i="18"/>
  <c r="W230" i="18" s="1"/>
  <c r="Y228" i="18" l="1"/>
  <c r="X229" i="18"/>
  <c r="X230" i="18" s="1"/>
  <c r="Y229" i="18" l="1"/>
  <c r="Y230" i="18" s="1"/>
  <c r="Z228" i="18"/>
  <c r="Z229" i="18" l="1"/>
  <c r="Z230" i="18" s="1"/>
  <c r="AA228" i="18"/>
  <c r="AB228" i="18" l="1"/>
  <c r="AA229" i="18"/>
  <c r="AA230" i="18" s="1"/>
  <c r="AC228" i="18" l="1"/>
  <c r="AB229" i="18"/>
  <c r="AB230" i="18" s="1"/>
  <c r="AC229" i="18" l="1"/>
  <c r="AC230" i="18" s="1"/>
  <c r="AD228" i="18"/>
  <c r="AE228" i="18" l="1"/>
  <c r="AD229" i="18"/>
  <c r="AD230" i="18" s="1"/>
  <c r="AF228" i="18" l="1"/>
  <c r="AE229" i="18"/>
  <c r="AE230" i="18" s="1"/>
  <c r="AG228" i="18" l="1"/>
  <c r="AF229" i="18"/>
  <c r="AF230" i="18" s="1"/>
  <c r="AG229" i="18" l="1"/>
  <c r="AG230" i="18" s="1"/>
  <c r="AH228" i="18"/>
  <c r="AH229" i="18" l="1"/>
  <c r="AH230" i="18" s="1"/>
  <c r="AI228" i="18"/>
  <c r="AJ228" i="18" l="1"/>
  <c r="AI229" i="18"/>
  <c r="AI230" i="18" s="1"/>
  <c r="AK228" i="18" l="1"/>
  <c r="AJ229" i="18"/>
  <c r="AJ230" i="18" s="1"/>
  <c r="AK229" i="18" l="1"/>
  <c r="AK230" i="18" s="1"/>
  <c r="AL228" i="18"/>
  <c r="AM228" i="18" l="1"/>
  <c r="AL229" i="18"/>
  <c r="AL230" i="18" s="1"/>
  <c r="AN228" i="18" l="1"/>
  <c r="AM229" i="18"/>
  <c r="AM230" i="18" s="1"/>
  <c r="AO228" i="18" l="1"/>
  <c r="AN229" i="18"/>
  <c r="AN230" i="18" s="1"/>
  <c r="AO229" i="18" l="1"/>
  <c r="AO230" i="18" s="1"/>
  <c r="AP228" i="18"/>
  <c r="AP229" i="18" l="1"/>
  <c r="AP230" i="18" s="1"/>
  <c r="AQ228" i="18"/>
  <c r="AQ229" i="18" s="1"/>
  <c r="AQ230" i="18" s="1"/>
  <c r="AF107" i="18" l="1"/>
  <c r="AJ107" i="18"/>
  <c r="AN107" i="18"/>
  <c r="AR107" i="18"/>
  <c r="AV107" i="18"/>
  <c r="I43" i="18" l="1"/>
  <c r="H4" i="18" l="1"/>
  <c r="AF96" i="18" l="1"/>
  <c r="AF97" i="18" s="1"/>
  <c r="AJ96" i="18"/>
  <c r="AJ97" i="18" s="1"/>
  <c r="AN96" i="18"/>
  <c r="AN97" i="18" s="1"/>
  <c r="AR96" i="18"/>
  <c r="AR97" i="18" s="1"/>
  <c r="AV96" i="18"/>
  <c r="AV97" i="18" s="1"/>
  <c r="AB96" i="18"/>
  <c r="AB97" i="18" s="1"/>
  <c r="AZ97" i="18" l="1"/>
  <c r="AZ96" i="18"/>
  <c r="N124" i="18"/>
  <c r="AR117" i="18" l="1"/>
  <c r="AZ94" i="18" l="1"/>
  <c r="I108" i="18" l="1"/>
  <c r="F108" i="18"/>
  <c r="H90" i="18" l="1"/>
  <c r="H91" i="18"/>
  <c r="G207" i="18"/>
  <c r="J207" i="18"/>
  <c r="D207" i="18"/>
  <c r="G206" i="18"/>
  <c r="J206" i="18"/>
  <c r="D206" i="18"/>
  <c r="G200" i="18"/>
  <c r="J200" i="18"/>
  <c r="D200" i="18"/>
  <c r="J199" i="18"/>
  <c r="G199" i="18"/>
  <c r="D199" i="18"/>
  <c r="E233" i="18" l="1"/>
  <c r="E234" i="18"/>
  <c r="G201" i="18"/>
  <c r="G202" i="18" s="1"/>
  <c r="D208" i="18"/>
  <c r="Y119" i="18" s="1"/>
  <c r="J201" i="18"/>
  <c r="J202" i="18" s="1"/>
  <c r="Y118" i="18"/>
  <c r="AR113" i="18" l="1"/>
  <c r="AR115" i="18" s="1"/>
  <c r="I118" i="18"/>
  <c r="O120" i="18"/>
  <c r="L120" i="18"/>
  <c r="I4" i="18" l="1"/>
  <c r="N4" i="18" s="1"/>
  <c r="S4" i="18" s="1"/>
  <c r="T4" i="18" s="1"/>
  <c r="U4" i="18" s="1"/>
  <c r="L118" i="18"/>
  <c r="T124" i="18" s="1"/>
  <c r="O118" i="18"/>
  <c r="V77" i="18" l="1"/>
  <c r="AV106" i="18" l="1"/>
  <c r="AR106" i="18"/>
  <c r="AN106" i="18"/>
  <c r="AJ106" i="18"/>
  <c r="AF106" i="18"/>
  <c r="AB106" i="18" l="1"/>
  <c r="AE118" i="18"/>
  <c r="AB118" i="18"/>
  <c r="AH115" i="18"/>
  <c r="AZ106" i="18" l="1"/>
  <c r="AB107" i="18"/>
  <c r="AR122" i="18"/>
  <c r="AR119" i="18"/>
  <c r="AH118" i="18"/>
  <c r="AY119" i="18" s="1"/>
  <c r="V4" i="18" l="1"/>
  <c r="W4" i="18" s="1"/>
  <c r="X4" i="18" s="1"/>
  <c r="Y4" i="18" s="1"/>
  <c r="Z4" i="18" s="1"/>
  <c r="AA4" i="18" s="1"/>
  <c r="AB4" i="18" s="1"/>
  <c r="AC4" i="18" s="1"/>
  <c r="AD4" i="18" s="1"/>
  <c r="AE4" i="18" s="1"/>
  <c r="AF4" i="18" s="1"/>
  <c r="AG4" i="18" s="1"/>
  <c r="AH4" i="18" s="1"/>
  <c r="AI4" i="18" s="1"/>
  <c r="AJ4" i="18" s="1"/>
  <c r="AK4" i="18" s="1"/>
  <c r="AL4" i="18" s="1"/>
  <c r="AM4" i="18" s="1"/>
  <c r="AN4" i="18" s="1"/>
  <c r="AO4" i="18" s="1"/>
  <c r="AP4" i="18" s="1"/>
  <c r="AQ4" i="18" s="1"/>
  <c r="AR4" i="18" s="1"/>
  <c r="AS4" i="18" s="1"/>
  <c r="AT4" i="18" s="1"/>
  <c r="AU4" i="18" s="1"/>
  <c r="AV4" i="18" s="1"/>
  <c r="AW4" i="18" s="1"/>
  <c r="AX4" i="18" s="1"/>
  <c r="AY4" i="18" s="1"/>
  <c r="AZ4" i="18" s="1"/>
  <c r="BA4" i="18" s="1"/>
  <c r="BB4" i="18" s="1"/>
  <c r="BC4" i="18" s="1"/>
  <c r="BD4" i="18" s="1"/>
  <c r="BE4" i="18" s="1"/>
  <c r="E193" i="18" l="1"/>
  <c r="E192" i="18"/>
  <c r="I191" i="18"/>
  <c r="E191" i="18"/>
  <c r="I190" i="18"/>
  <c r="E190" i="18"/>
  <c r="I189" i="18"/>
  <c r="E189" i="18"/>
  <c r="F157" i="18" a="1"/>
  <c r="F157" i="18" s="1"/>
  <c r="F156" i="18" a="1"/>
  <c r="F156" i="18" s="1"/>
  <c r="S32" i="18" s="1"/>
  <c r="H153" i="18" a="1"/>
  <c r="H153" i="18" s="1"/>
  <c r="H152" i="18" a="1"/>
  <c r="H152" i="18" s="1"/>
  <c r="BE147" i="18"/>
  <c r="BE149" i="18" s="1"/>
  <c r="BD147" i="18"/>
  <c r="BD149" i="18" s="1"/>
  <c r="BC147" i="18"/>
  <c r="BC149" i="18" s="1"/>
  <c r="BB147" i="18"/>
  <c r="BB149" i="18" s="1"/>
  <c r="BA147" i="18"/>
  <c r="BA149" i="18" s="1"/>
  <c r="AZ147" i="18"/>
  <c r="AZ149" i="18" s="1"/>
  <c r="AY147" i="18"/>
  <c r="AY149" i="18" s="1"/>
  <c r="AX147" i="18"/>
  <c r="AX149" i="18" s="1"/>
  <c r="AW147" i="18"/>
  <c r="AW149" i="18" s="1"/>
  <c r="AV147" i="18"/>
  <c r="AV149" i="18" s="1"/>
  <c r="AU147" i="18"/>
  <c r="AU149" i="18" s="1"/>
  <c r="AT147" i="18"/>
  <c r="AT149" i="18" s="1"/>
  <c r="AS147" i="18"/>
  <c r="AS149" i="18" s="1"/>
  <c r="AR147" i="18"/>
  <c r="AR149" i="18" s="1"/>
  <c r="AQ147" i="18"/>
  <c r="AQ149" i="18" s="1"/>
  <c r="AP147" i="18"/>
  <c r="AP149" i="18" s="1"/>
  <c r="AO147" i="18"/>
  <c r="AO149" i="18" s="1"/>
  <c r="AN147" i="18"/>
  <c r="AN149" i="18" s="1"/>
  <c r="AM147" i="18"/>
  <c r="AM149" i="18" s="1"/>
  <c r="AL147" i="18"/>
  <c r="AL149" i="18" s="1"/>
  <c r="AK147" i="18"/>
  <c r="AK149" i="18" s="1"/>
  <c r="AJ147" i="18"/>
  <c r="AJ149" i="18" s="1"/>
  <c r="AI147" i="18"/>
  <c r="AI149" i="18" s="1"/>
  <c r="AH147" i="18"/>
  <c r="AH149" i="18" s="1"/>
  <c r="AG147" i="18"/>
  <c r="AG149" i="18" s="1"/>
  <c r="AF147" i="18"/>
  <c r="AF149" i="18" s="1"/>
  <c r="AE147" i="18"/>
  <c r="AE149" i="18" s="1"/>
  <c r="AD147" i="18"/>
  <c r="AD149" i="18" s="1"/>
  <c r="AC147" i="18"/>
  <c r="AC149" i="18" s="1"/>
  <c r="AB147" i="18"/>
  <c r="AB149" i="18" s="1"/>
  <c r="AA147" i="18"/>
  <c r="AA149" i="18" s="1"/>
  <c r="Z147" i="18"/>
  <c r="Z149" i="18" s="1"/>
  <c r="Y147" i="18"/>
  <c r="Y149" i="18" s="1"/>
  <c r="X147" i="18"/>
  <c r="X149" i="18" s="1"/>
  <c r="W147" i="18"/>
  <c r="W149" i="18" s="1"/>
  <c r="V147" i="18"/>
  <c r="V149" i="18" s="1"/>
  <c r="U147" i="18"/>
  <c r="U149" i="18" s="1"/>
  <c r="T147" i="18"/>
  <c r="T149" i="18" s="1"/>
  <c r="S147" i="18"/>
  <c r="S149" i="18" s="1"/>
  <c r="BE142" i="18"/>
  <c r="BD142" i="18"/>
  <c r="BC142" i="18"/>
  <c r="BB142" i="18"/>
  <c r="BA142" i="18"/>
  <c r="AZ142" i="18"/>
  <c r="AY142" i="18"/>
  <c r="AX142" i="18"/>
  <c r="AW142" i="18"/>
  <c r="AV142" i="18"/>
  <c r="BE140" i="18"/>
  <c r="BE143" i="18" s="1"/>
  <c r="BE145" i="18" s="1"/>
  <c r="BE30" i="18" s="1"/>
  <c r="BD140" i="18"/>
  <c r="BD143" i="18" s="1"/>
  <c r="BD145" i="18" s="1"/>
  <c r="BD30" i="18" s="1"/>
  <c r="BC140" i="18"/>
  <c r="BC143" i="18" s="1"/>
  <c r="BB140" i="18"/>
  <c r="BB143" i="18" s="1"/>
  <c r="BB145" i="18" s="1"/>
  <c r="BB30" i="18" s="1"/>
  <c r="BA140" i="18"/>
  <c r="BA143" i="18" s="1"/>
  <c r="AZ140" i="18"/>
  <c r="AZ143" i="18" s="1"/>
  <c r="AZ145" i="18" s="1"/>
  <c r="AZ30" i="18" s="1"/>
  <c r="AY140" i="18"/>
  <c r="AY143" i="18" s="1"/>
  <c r="AY145" i="18" s="1"/>
  <c r="AY30" i="18" s="1"/>
  <c r="AX140" i="18"/>
  <c r="AX143" i="18" s="1"/>
  <c r="AX145" i="18" s="1"/>
  <c r="AX30" i="18" s="1"/>
  <c r="AW140" i="18"/>
  <c r="AW143" i="18" s="1"/>
  <c r="K137" i="18" a="1"/>
  <c r="K137" i="18" s="1"/>
  <c r="J137" i="18" a="1"/>
  <c r="J137" i="18" s="1"/>
  <c r="I137" i="18" a="1"/>
  <c r="I137" i="18" s="1"/>
  <c r="H137" i="18" a="1"/>
  <c r="H137" i="18" s="1"/>
  <c r="G137" i="18" a="1"/>
  <c r="G137" i="18" s="1"/>
  <c r="F137" i="18" a="1"/>
  <c r="F137" i="18" s="1"/>
  <c r="E137" i="18" a="1"/>
  <c r="E137" i="18" s="1"/>
  <c r="D137" i="18" a="1"/>
  <c r="D137" i="18" s="1"/>
  <c r="C137" i="18" a="1"/>
  <c r="C137" i="18" s="1"/>
  <c r="B137" i="18" a="1"/>
  <c r="B137" i="18" s="1"/>
  <c r="A137" i="18" a="1"/>
  <c r="A137" i="18" s="1"/>
  <c r="K136" i="18" a="1"/>
  <c r="K136" i="18" s="1"/>
  <c r="J136" i="18" a="1"/>
  <c r="J136" i="18" s="1"/>
  <c r="I136" i="18" a="1"/>
  <c r="I136" i="18" s="1"/>
  <c r="H136" i="18" a="1"/>
  <c r="H136" i="18" s="1"/>
  <c r="G136" i="18" a="1"/>
  <c r="G136" i="18" s="1"/>
  <c r="F136" i="18" a="1"/>
  <c r="F136" i="18" s="1"/>
  <c r="D136" i="18" a="1"/>
  <c r="D136" i="18" s="1"/>
  <c r="C136" i="18" a="1"/>
  <c r="C136" i="18" s="1"/>
  <c r="BE130" i="18"/>
  <c r="BE20" i="18" s="1"/>
  <c r="BD130" i="18"/>
  <c r="BD20" i="18" s="1"/>
  <c r="BC130" i="18"/>
  <c r="BC20" i="18" s="1"/>
  <c r="BB130" i="18"/>
  <c r="BB20" i="18" s="1"/>
  <c r="BA130" i="18"/>
  <c r="BA20" i="18" s="1"/>
  <c r="AZ130" i="18"/>
  <c r="AZ20" i="18" s="1"/>
  <c r="AY130" i="18"/>
  <c r="AY20" i="18" s="1"/>
  <c r="AX130" i="18"/>
  <c r="AX20" i="18" s="1"/>
  <c r="AW130" i="18"/>
  <c r="AW20" i="18" s="1"/>
  <c r="AV130" i="18"/>
  <c r="AV20" i="18" s="1"/>
  <c r="AU130" i="18"/>
  <c r="AU20" i="18" s="1"/>
  <c r="AT130" i="18"/>
  <c r="AT20" i="18" s="1"/>
  <c r="AS130" i="18"/>
  <c r="AS20" i="18" s="1"/>
  <c r="AR130" i="18"/>
  <c r="AR20" i="18" s="1"/>
  <c r="AQ130" i="18"/>
  <c r="AQ20" i="18" s="1"/>
  <c r="AP130" i="18"/>
  <c r="AP20" i="18" s="1"/>
  <c r="AO130" i="18"/>
  <c r="AO20" i="18" s="1"/>
  <c r="AN130" i="18"/>
  <c r="AN20" i="18" s="1"/>
  <c r="AM130" i="18"/>
  <c r="AM20" i="18" s="1"/>
  <c r="AL130" i="18"/>
  <c r="AL20" i="18" s="1"/>
  <c r="AK130" i="18"/>
  <c r="AK20" i="18" s="1"/>
  <c r="AJ130" i="18"/>
  <c r="AJ20" i="18" s="1"/>
  <c r="AI130" i="18"/>
  <c r="AI20" i="18" s="1"/>
  <c r="AH130" i="18"/>
  <c r="AH20" i="18" s="1"/>
  <c r="AG130" i="18"/>
  <c r="AG20" i="18" s="1"/>
  <c r="AF130" i="18"/>
  <c r="AF20" i="18" s="1"/>
  <c r="AE130" i="18"/>
  <c r="AE20" i="18" s="1"/>
  <c r="AD130" i="18"/>
  <c r="AD20" i="18" s="1"/>
  <c r="AC130" i="18"/>
  <c r="AC20" i="18" s="1"/>
  <c r="AB130" i="18"/>
  <c r="AB20" i="18" s="1"/>
  <c r="AA130" i="18"/>
  <c r="AA20" i="18" s="1"/>
  <c r="Z130" i="18"/>
  <c r="Z20" i="18" s="1"/>
  <c r="Y130" i="18"/>
  <c r="Y20" i="18" s="1"/>
  <c r="X130" i="18"/>
  <c r="X20" i="18" s="1"/>
  <c r="W130" i="18"/>
  <c r="W20" i="18" s="1"/>
  <c r="V130" i="18"/>
  <c r="V20" i="18" s="1"/>
  <c r="U130" i="18"/>
  <c r="U20" i="18" s="1"/>
  <c r="T130" i="18"/>
  <c r="T20" i="18" s="1"/>
  <c r="S130" i="18"/>
  <c r="S20" i="18" s="1"/>
  <c r="Y77" i="18"/>
  <c r="AZ75" i="18"/>
  <c r="S74" i="18"/>
  <c r="Y74" i="18" s="1"/>
  <c r="H89" i="18" s="1"/>
  <c r="Y73" i="18"/>
  <c r="Y72" i="18"/>
  <c r="P71" i="18"/>
  <c r="M71" i="18"/>
  <c r="J71" i="18"/>
  <c r="G71" i="18"/>
  <c r="E213" i="18" s="1"/>
  <c r="D71" i="18"/>
  <c r="D43" i="18"/>
  <c r="AP33" i="18"/>
  <c r="AP31" i="18"/>
  <c r="AG31" i="18"/>
  <c r="S31" i="18"/>
  <c r="D2" i="18"/>
  <c r="AX31" i="18" l="1"/>
  <c r="AX33" i="18" s="1"/>
  <c r="BA31" i="18" s="1"/>
  <c r="H233" i="18"/>
  <c r="H234" i="18" s="1"/>
  <c r="L233" i="18"/>
  <c r="L234" i="18" s="1"/>
  <c r="P233" i="18"/>
  <c r="P234" i="18" s="1"/>
  <c r="T233" i="18"/>
  <c r="T234" i="18" s="1"/>
  <c r="X233" i="18"/>
  <c r="X234" i="18" s="1"/>
  <c r="AB233" i="18"/>
  <c r="AB234" i="18" s="1"/>
  <c r="AF233" i="18"/>
  <c r="AF234" i="18" s="1"/>
  <c r="AX131" i="18"/>
  <c r="AX133" i="18" s="1"/>
  <c r="AX146" i="18" s="1"/>
  <c r="AX23" i="18" s="1"/>
  <c r="AJ233" i="18"/>
  <c r="AJ234" i="18"/>
  <c r="BB131" i="18"/>
  <c r="BB21" i="18" s="1"/>
  <c r="AN233" i="18"/>
  <c r="AN234" i="18"/>
  <c r="I233" i="18"/>
  <c r="I234" i="18" s="1"/>
  <c r="M233" i="18"/>
  <c r="M234" i="18" s="1"/>
  <c r="Q233" i="18"/>
  <c r="Q234" i="18" s="1"/>
  <c r="U233" i="18"/>
  <c r="U234" i="18" s="1"/>
  <c r="Y233" i="18"/>
  <c r="Y234" i="18" s="1"/>
  <c r="AC233" i="18"/>
  <c r="AC234" i="18" s="1"/>
  <c r="AG233" i="18"/>
  <c r="AG234" i="18"/>
  <c r="AK233" i="18"/>
  <c r="AK234" i="18"/>
  <c r="AO233" i="18"/>
  <c r="AO234" i="18"/>
  <c r="F233" i="18"/>
  <c r="F234" i="18" s="1"/>
  <c r="J233" i="18"/>
  <c r="J234" i="18" s="1"/>
  <c r="AB131" i="18"/>
  <c r="AB133" i="18" s="1"/>
  <c r="N233" i="18"/>
  <c r="N234" i="18" s="1"/>
  <c r="AF131" i="18"/>
  <c r="AF21" i="18" s="1"/>
  <c r="R233" i="18"/>
  <c r="R234" i="18" s="1"/>
  <c r="V233" i="18"/>
  <c r="V234" i="18" s="1"/>
  <c r="Z233" i="18"/>
  <c r="Z234" i="18" s="1"/>
  <c r="AD233" i="18"/>
  <c r="AD234" i="18" s="1"/>
  <c r="AH233" i="18"/>
  <c r="AH234" i="18" s="1"/>
  <c r="AL234" i="18"/>
  <c r="AL233" i="18"/>
  <c r="AP234" i="18"/>
  <c r="AP233" i="18"/>
  <c r="G233" i="18"/>
  <c r="G234" i="18" s="1"/>
  <c r="K233" i="18"/>
  <c r="K234" i="18" s="1"/>
  <c r="O233" i="18"/>
  <c r="O234" i="18" s="1"/>
  <c r="S233" i="18"/>
  <c r="S234" i="18" s="1"/>
  <c r="W233" i="18"/>
  <c r="W234" i="18" s="1"/>
  <c r="AA233" i="18"/>
  <c r="AA234" i="18" s="1"/>
  <c r="AE233" i="18"/>
  <c r="AE234" i="18" s="1"/>
  <c r="AW131" i="18"/>
  <c r="AI233" i="18"/>
  <c r="AI234" i="18"/>
  <c r="BA131" i="18"/>
  <c r="BA132" i="18" s="1"/>
  <c r="BA22" i="18" s="1"/>
  <c r="AM233" i="18"/>
  <c r="AM234" i="18"/>
  <c r="AQ233" i="18"/>
  <c r="AQ234" i="18"/>
  <c r="T142" i="18"/>
  <c r="D213" i="18"/>
  <c r="O139" i="18"/>
  <c r="S139" i="18"/>
  <c r="W139" i="18"/>
  <c r="P139" i="18"/>
  <c r="T139" i="18"/>
  <c r="X139" i="18"/>
  <c r="Q139" i="18"/>
  <c r="U139" i="18"/>
  <c r="N139" i="18"/>
  <c r="R139" i="18"/>
  <c r="V139" i="18"/>
  <c r="BE131" i="18"/>
  <c r="BE21" i="18" s="1"/>
  <c r="P75" i="18"/>
  <c r="H213" i="18"/>
  <c r="J76" i="18"/>
  <c r="F213" i="18"/>
  <c r="M76" i="18"/>
  <c r="G213" i="18"/>
  <c r="Y71" i="18"/>
  <c r="W142" i="18"/>
  <c r="S142" i="18"/>
  <c r="AZ28" i="18"/>
  <c r="BD28" i="18"/>
  <c r="J208" i="18"/>
  <c r="AE119" i="18" s="1"/>
  <c r="AY28" i="18"/>
  <c r="G76" i="18"/>
  <c r="P79" i="18"/>
  <c r="G79" i="18"/>
  <c r="J79" i="18"/>
  <c r="M79" i="18"/>
  <c r="D78" i="18"/>
  <c r="G78" i="18"/>
  <c r="J78" i="18"/>
  <c r="M78" i="18"/>
  <c r="P78" i="18"/>
  <c r="D67" i="18"/>
  <c r="AZ131" i="18"/>
  <c r="AZ21" i="18" s="1"/>
  <c r="AV131" i="18"/>
  <c r="AV133" i="18" s="1"/>
  <c r="Q190" i="18"/>
  <c r="AD44" i="18" s="1"/>
  <c r="Q191" i="18"/>
  <c r="R191" i="18" s="1"/>
  <c r="AG45" i="18" s="1"/>
  <c r="BD131" i="18"/>
  <c r="BD133" i="18" s="1"/>
  <c r="BD146" i="18" s="1"/>
  <c r="BD23" i="18" s="1"/>
  <c r="P76" i="18"/>
  <c r="M75" i="18"/>
  <c r="J75" i="18"/>
  <c r="Q189" i="18"/>
  <c r="AA190" i="18"/>
  <c r="D201" i="18"/>
  <c r="D202" i="18" s="1"/>
  <c r="I120" i="18" s="1"/>
  <c r="BA21" i="18"/>
  <c r="AX28" i="18"/>
  <c r="BE28" i="18"/>
  <c r="BB28" i="18"/>
  <c r="G208" i="18"/>
  <c r="AB119" i="18" s="1"/>
  <c r="BA145" i="18"/>
  <c r="BA30" i="18" s="1"/>
  <c r="BA28" i="18"/>
  <c r="AW145" i="18"/>
  <c r="AW30" i="18" s="1"/>
  <c r="AW28" i="18"/>
  <c r="Y131" i="18"/>
  <c r="AG131" i="18"/>
  <c r="AO131" i="18"/>
  <c r="AJ131" i="18"/>
  <c r="AJ21" i="18" s="1"/>
  <c r="S33" i="18"/>
  <c r="T131" i="18"/>
  <c r="T21" i="18" s="1"/>
  <c r="AN131" i="18"/>
  <c r="AN132" i="18" s="1"/>
  <c r="AN22" i="18" s="1"/>
  <c r="U131" i="18"/>
  <c r="AC131" i="18"/>
  <c r="AK131" i="18"/>
  <c r="AS131" i="18"/>
  <c r="X131" i="18"/>
  <c r="X132" i="18" s="1"/>
  <c r="X22" i="18" s="1"/>
  <c r="AR131" i="18"/>
  <c r="AR132" i="18" s="1"/>
  <c r="AR22" i="18" s="1"/>
  <c r="V31" i="18"/>
  <c r="W45" i="18"/>
  <c r="I44" i="18"/>
  <c r="N43" i="18"/>
  <c r="D139" i="18"/>
  <c r="N44" i="18"/>
  <c r="D44" i="18"/>
  <c r="D76" i="18"/>
  <c r="D75" i="18"/>
  <c r="BA133" i="18"/>
  <c r="BA146" i="18" s="1"/>
  <c r="BA23" i="18" s="1"/>
  <c r="BA148" i="18"/>
  <c r="BA141" i="18"/>
  <c r="BA144" i="18" s="1"/>
  <c r="BA29" i="18" s="1"/>
  <c r="F159" i="18" a="1"/>
  <c r="F159" i="18" s="1"/>
  <c r="AG32" i="18" s="1"/>
  <c r="F160" i="18" a="1"/>
  <c r="F160" i="18" s="1"/>
  <c r="J139" i="18"/>
  <c r="BC145" i="18"/>
  <c r="BC30" i="18" s="1"/>
  <c r="BC28" i="18"/>
  <c r="G139" i="18"/>
  <c r="L139" i="18"/>
  <c r="S131" i="18"/>
  <c r="W131" i="18"/>
  <c r="AA131" i="18"/>
  <c r="AE131" i="18"/>
  <c r="AI131" i="18"/>
  <c r="AM131" i="18"/>
  <c r="AQ131" i="18"/>
  <c r="AU131" i="18"/>
  <c r="AY131" i="18"/>
  <c r="BC131" i="18"/>
  <c r="H139" i="18"/>
  <c r="G75" i="18"/>
  <c r="M139" i="18"/>
  <c r="I139" i="18"/>
  <c r="L239" i="18" s="1"/>
  <c r="E139" i="18"/>
  <c r="X142" i="18" s="1"/>
  <c r="F139" i="18"/>
  <c r="K139" i="18"/>
  <c r="V131" i="18"/>
  <c r="Z131" i="18"/>
  <c r="AD131" i="18"/>
  <c r="AH131" i="18"/>
  <c r="AL131" i="18"/>
  <c r="AP131" i="18"/>
  <c r="AT131" i="18"/>
  <c r="AA189" i="18"/>
  <c r="AR121" i="18" l="1"/>
  <c r="AY121" i="18"/>
  <c r="U239" i="18"/>
  <c r="U240" i="18" s="1"/>
  <c r="U223" i="18" s="1"/>
  <c r="AI24" i="18" s="1"/>
  <c r="AV140" i="18"/>
  <c r="AV146" i="18"/>
  <c r="AV23" i="18" s="1"/>
  <c r="AQ239" i="18"/>
  <c r="N239" i="18"/>
  <c r="N240" i="18" s="1"/>
  <c r="Q239" i="18"/>
  <c r="Q240" i="18" s="1"/>
  <c r="Q223" i="18" s="1"/>
  <c r="AE24" i="18" s="1"/>
  <c r="T239" i="18"/>
  <c r="T240" i="18" s="1"/>
  <c r="T223" i="18" s="1"/>
  <c r="AH24" i="18" s="1"/>
  <c r="G239" i="18"/>
  <c r="G240" i="18" s="1"/>
  <c r="P239" i="18"/>
  <c r="P240" i="18" s="1"/>
  <c r="P223" i="18" s="1"/>
  <c r="AD24" i="18" s="1"/>
  <c r="M239" i="18"/>
  <c r="M240" i="18" s="1"/>
  <c r="S140" i="18"/>
  <c r="S143" i="18" s="1"/>
  <c r="S28" i="18" s="1"/>
  <c r="E239" i="18"/>
  <c r="E240" i="18" s="1"/>
  <c r="E223" i="18" s="1"/>
  <c r="S24" i="18" s="1"/>
  <c r="K239" i="18"/>
  <c r="K240" i="18" s="1"/>
  <c r="I239" i="18"/>
  <c r="I240" i="18" s="1"/>
  <c r="I223" i="18" s="1"/>
  <c r="W24" i="18" s="1"/>
  <c r="V239" i="18"/>
  <c r="V240" i="18" s="1"/>
  <c r="V223" i="18" s="1"/>
  <c r="AJ24" i="18" s="1"/>
  <c r="S239" i="18"/>
  <c r="S240" i="18" s="1"/>
  <c r="S223" i="18" s="1"/>
  <c r="AG24" i="18" s="1"/>
  <c r="AF132" i="18"/>
  <c r="AF22" i="18" s="1"/>
  <c r="BE141" i="18"/>
  <c r="BE144" i="18" s="1"/>
  <c r="BE29" i="18" s="1"/>
  <c r="BE133" i="18"/>
  <c r="BE146" i="18" s="1"/>
  <c r="BE23" i="18" s="1"/>
  <c r="AN239" i="18"/>
  <c r="AA239" i="18"/>
  <c r="J239" i="18"/>
  <c r="J240" i="18" s="1"/>
  <c r="AO239" i="18"/>
  <c r="AL239" i="18"/>
  <c r="O239" i="18"/>
  <c r="O240" i="18" s="1"/>
  <c r="AC239" i="18"/>
  <c r="BE148" i="18"/>
  <c r="BE132" i="18"/>
  <c r="BE22" i="18" s="1"/>
  <c r="T140" i="18"/>
  <c r="T143" i="18" s="1"/>
  <c r="T28" i="18" s="1"/>
  <c r="X239" i="18"/>
  <c r="X240" i="18" s="1"/>
  <c r="X223" i="18" s="1"/>
  <c r="AL24" i="18" s="1"/>
  <c r="AB239" i="18"/>
  <c r="AK239" i="18"/>
  <c r="AM239" i="18"/>
  <c r="AD239" i="18"/>
  <c r="AG239" i="18"/>
  <c r="AH239" i="18"/>
  <c r="H239" i="18"/>
  <c r="H240" i="18" s="1"/>
  <c r="AP239" i="18"/>
  <c r="Y239" i="18"/>
  <c r="AJ239" i="18"/>
  <c r="W239" i="18"/>
  <c r="W240" i="18" s="1"/>
  <c r="W223" i="18" s="1"/>
  <c r="AK24" i="18" s="1"/>
  <c r="F239" i="18"/>
  <c r="F240" i="18" s="1"/>
  <c r="AI239" i="18"/>
  <c r="R239" i="18"/>
  <c r="R240" i="18" s="1"/>
  <c r="R223" i="18" s="1"/>
  <c r="AF24" i="18" s="1"/>
  <c r="Z239" i="18"/>
  <c r="AE239" i="18"/>
  <c r="AE240" i="18" s="1"/>
  <c r="AE223" i="18" s="1"/>
  <c r="AS24" i="18" s="1"/>
  <c r="AF239" i="18"/>
  <c r="AF133" i="18"/>
  <c r="AF146" i="18" s="1"/>
  <c r="AF23" i="18" s="1"/>
  <c r="BB132" i="18"/>
  <c r="BB22" i="18" s="1"/>
  <c r="AV148" i="18"/>
  <c r="BB141" i="18"/>
  <c r="BB144" i="18" s="1"/>
  <c r="BB29" i="18" s="1"/>
  <c r="AV132" i="18"/>
  <c r="AV22" i="18" s="1"/>
  <c r="U140" i="18"/>
  <c r="AX148" i="18"/>
  <c r="AX141" i="18"/>
  <c r="AX144" i="18" s="1"/>
  <c r="AX29" i="18" s="1"/>
  <c r="AX21" i="18"/>
  <c r="BB133" i="18"/>
  <c r="BB146" i="18" s="1"/>
  <c r="BB23" i="18" s="1"/>
  <c r="BB148" i="18"/>
  <c r="AX132" i="18"/>
  <c r="AX22" i="18" s="1"/>
  <c r="S141" i="18"/>
  <c r="S144" i="18" s="1"/>
  <c r="S29" i="18" s="1"/>
  <c r="AW21" i="18"/>
  <c r="AW141" i="18"/>
  <c r="AW144" i="18" s="1"/>
  <c r="AW29" i="18" s="1"/>
  <c r="AW133" i="18"/>
  <c r="AW146" i="18" s="1"/>
  <c r="AW23" i="18" s="1"/>
  <c r="AW148" i="18"/>
  <c r="AW132" i="18"/>
  <c r="AW22" i="18" s="1"/>
  <c r="U142" i="18"/>
  <c r="L240" i="18"/>
  <c r="J213" i="18"/>
  <c r="AV141" i="18"/>
  <c r="BD148" i="18"/>
  <c r="AR123" i="18"/>
  <c r="AY123" i="18" s="1"/>
  <c r="AY118" i="18"/>
  <c r="AR118" i="18"/>
  <c r="BD141" i="18"/>
  <c r="BD144" i="18" s="1"/>
  <c r="BD29" i="18" s="1"/>
  <c r="BD132" i="18"/>
  <c r="BD22" i="18" s="1"/>
  <c r="I122" i="18"/>
  <c r="AF98" i="18"/>
  <c r="AV98" i="18"/>
  <c r="AJ98" i="18"/>
  <c r="AB98" i="18"/>
  <c r="AN98" i="18"/>
  <c r="AR98" i="18"/>
  <c r="AY122" i="18"/>
  <c r="AO142" i="18"/>
  <c r="AR120" i="18"/>
  <c r="AZ148" i="18"/>
  <c r="AY120" i="18"/>
  <c r="AY117" i="18"/>
  <c r="BD21" i="18"/>
  <c r="R190" i="18"/>
  <c r="AG44" i="18" s="1"/>
  <c r="AZ133" i="18"/>
  <c r="AZ146" i="18" s="1"/>
  <c r="AZ23" i="18" s="1"/>
  <c r="AZ132" i="18"/>
  <c r="AZ22" i="18" s="1"/>
  <c r="AZ141" i="18"/>
  <c r="AZ144" i="18" s="1"/>
  <c r="AZ29" i="18" s="1"/>
  <c r="AH142" i="18"/>
  <c r="Y142" i="18"/>
  <c r="AR142" i="18"/>
  <c r="AD45" i="18"/>
  <c r="V140" i="18"/>
  <c r="Y148" i="18"/>
  <c r="X148" i="18"/>
  <c r="T132" i="18"/>
  <c r="T22" i="18" s="1"/>
  <c r="AN141" i="18"/>
  <c r="AB148" i="18"/>
  <c r="AB146" i="18"/>
  <c r="AB23" i="18" s="1"/>
  <c r="AB21" i="18"/>
  <c r="AB132" i="18"/>
  <c r="AB22" i="18" s="1"/>
  <c r="AV21" i="18"/>
  <c r="W140" i="18"/>
  <c r="AS132" i="18"/>
  <c r="AS22" i="18" s="1"/>
  <c r="AS148" i="18"/>
  <c r="AS21" i="18"/>
  <c r="AS133" i="18"/>
  <c r="AS146" i="18" s="1"/>
  <c r="AS23" i="18" s="1"/>
  <c r="AO21" i="18"/>
  <c r="AO132" i="18"/>
  <c r="AO22" i="18" s="1"/>
  <c r="AO133" i="18"/>
  <c r="AO146" i="18" s="1"/>
  <c r="AO23" i="18" s="1"/>
  <c r="AK132" i="18"/>
  <c r="AK22" i="18" s="1"/>
  <c r="AK21" i="18"/>
  <c r="AK133" i="18"/>
  <c r="AK146" i="18" s="1"/>
  <c r="AK23" i="18" s="1"/>
  <c r="AG133" i="18"/>
  <c r="AG146" i="18" s="1"/>
  <c r="AG23" i="18" s="1"/>
  <c r="AG132" i="18"/>
  <c r="AG22" i="18" s="1"/>
  <c r="AG21" i="18"/>
  <c r="AC132" i="18"/>
  <c r="AC22" i="18" s="1"/>
  <c r="AC148" i="18"/>
  <c r="AC21" i="18"/>
  <c r="AC133" i="18"/>
  <c r="AC146" i="18" s="1"/>
  <c r="AC23" i="18" s="1"/>
  <c r="Y132" i="18"/>
  <c r="Y22" i="18" s="1"/>
  <c r="Y21" i="18"/>
  <c r="Y133" i="18"/>
  <c r="Y146" i="18" s="1"/>
  <c r="Y23" i="18" s="1"/>
  <c r="U21" i="18"/>
  <c r="U133" i="18"/>
  <c r="U146" i="18" s="1"/>
  <c r="U23" i="18" s="1"/>
  <c r="U141" i="18"/>
  <c r="U132" i="18"/>
  <c r="U22" i="18" s="1"/>
  <c r="AK148" i="18"/>
  <c r="U148" i="18"/>
  <c r="Y75" i="18"/>
  <c r="X141" i="18"/>
  <c r="AN148" i="18"/>
  <c r="AB190" i="18"/>
  <c r="AV44" i="18" s="1"/>
  <c r="AS44" i="18"/>
  <c r="R189" i="18"/>
  <c r="AG43" i="18" s="1"/>
  <c r="AD43" i="18"/>
  <c r="AJ133" i="18"/>
  <c r="AJ146" i="18" s="1"/>
  <c r="AJ23" i="18" s="1"/>
  <c r="AJ132" i="18"/>
  <c r="AJ22" i="18" s="1"/>
  <c r="T133" i="18"/>
  <c r="T146" i="18" s="1"/>
  <c r="T23" i="18" s="1"/>
  <c r="AR133" i="18"/>
  <c r="AR146" i="18" s="1"/>
  <c r="AR23" i="18" s="1"/>
  <c r="AR21" i="18"/>
  <c r="T148" i="18"/>
  <c r="T141" i="18"/>
  <c r="X21" i="18"/>
  <c r="X133" i="18"/>
  <c r="X146" i="18" s="1"/>
  <c r="X23" i="18" s="1"/>
  <c r="AN133" i="18"/>
  <c r="AN146" i="18" s="1"/>
  <c r="AN23" i="18" s="1"/>
  <c r="AN21" i="18"/>
  <c r="AH148" i="18"/>
  <c r="AH141" i="18"/>
  <c r="AH132" i="18"/>
  <c r="AH22" i="18" s="1"/>
  <c r="AH21" i="18"/>
  <c r="AH133" i="18"/>
  <c r="AH146" i="18" s="1"/>
  <c r="AH23" i="18" s="1"/>
  <c r="AU148" i="18"/>
  <c r="AU141" i="18"/>
  <c r="AU133" i="18"/>
  <c r="AU146" i="18" s="1"/>
  <c r="AU23" i="18" s="1"/>
  <c r="AU21" i="18"/>
  <c r="AU132" i="18"/>
  <c r="AU22" i="18" s="1"/>
  <c r="AE148" i="18"/>
  <c r="AE141" i="18"/>
  <c r="AE133" i="18"/>
  <c r="AE146" i="18" s="1"/>
  <c r="AE23" i="18" s="1"/>
  <c r="AE21" i="18"/>
  <c r="AE132" i="18"/>
  <c r="AE22" i="18" s="1"/>
  <c r="X140" i="18"/>
  <c r="AT140" i="18"/>
  <c r="AP140" i="18"/>
  <c r="AC140" i="18"/>
  <c r="AT148" i="18"/>
  <c r="AT141" i="18"/>
  <c r="AT133" i="18"/>
  <c r="AT146" i="18" s="1"/>
  <c r="AT23" i="18" s="1"/>
  <c r="AT21" i="18"/>
  <c r="AT132" i="18"/>
  <c r="AT22" i="18" s="1"/>
  <c r="AD148" i="18"/>
  <c r="AD141" i="18"/>
  <c r="AD133" i="18"/>
  <c r="AD146" i="18" s="1"/>
  <c r="AD23" i="18" s="1"/>
  <c r="AD21" i="18"/>
  <c r="AD132" i="18"/>
  <c r="AD22" i="18" s="1"/>
  <c r="AS141" i="18"/>
  <c r="AA140" i="18"/>
  <c r="AB142" i="18"/>
  <c r="AB140" i="18"/>
  <c r="AC142" i="18"/>
  <c r="AD140" i="18"/>
  <c r="AD142" i="18"/>
  <c r="Z140" i="18"/>
  <c r="AU140" i="18"/>
  <c r="AP142" i="18"/>
  <c r="AG140" i="18"/>
  <c r="AA142" i="18"/>
  <c r="AQ142" i="18"/>
  <c r="AF141" i="18"/>
  <c r="AG148" i="18"/>
  <c r="AP148" i="18"/>
  <c r="AP141" i="18"/>
  <c r="AP133" i="18"/>
  <c r="AP146" i="18" s="1"/>
  <c r="AP23" i="18" s="1"/>
  <c r="AP132" i="18"/>
  <c r="AP22" i="18" s="1"/>
  <c r="AP21" i="18"/>
  <c r="AY148" i="18"/>
  <c r="AY141" i="18"/>
  <c r="AY144" i="18" s="1"/>
  <c r="AY29" i="18" s="1"/>
  <c r="AY21" i="18"/>
  <c r="AY133" i="18"/>
  <c r="AY146" i="18" s="1"/>
  <c r="AY23" i="18" s="1"/>
  <c r="AY132" i="18"/>
  <c r="AY22" i="18" s="1"/>
  <c r="AQ132" i="18"/>
  <c r="AQ22" i="18" s="1"/>
  <c r="AQ148" i="18"/>
  <c r="AQ141" i="18"/>
  <c r="AQ21" i="18"/>
  <c r="AQ133" i="18"/>
  <c r="AQ146" i="18" s="1"/>
  <c r="AQ23" i="18" s="1"/>
  <c r="AI148" i="18"/>
  <c r="AI141" i="18"/>
  <c r="AI132" i="18"/>
  <c r="AI22" i="18" s="1"/>
  <c r="AI21" i="18"/>
  <c r="AI133" i="18"/>
  <c r="AI146" i="18" s="1"/>
  <c r="AI23" i="18" s="1"/>
  <c r="AA148" i="18"/>
  <c r="AA132" i="18"/>
  <c r="AA22" i="18" s="1"/>
  <c r="AA141" i="18"/>
  <c r="AA21" i="18"/>
  <c r="AA133" i="18"/>
  <c r="AA146" i="18" s="1"/>
  <c r="AA23" i="18" s="1"/>
  <c r="S148" i="18"/>
  <c r="S21" i="18"/>
  <c r="S132" i="18"/>
  <c r="S22" i="18" s="1"/>
  <c r="S133" i="18"/>
  <c r="S146" i="18" s="1"/>
  <c r="S23" i="18" s="1"/>
  <c r="AF140" i="18"/>
  <c r="AG142" i="18"/>
  <c r="AH140" i="18"/>
  <c r="AN142" i="18"/>
  <c r="AI140" i="18"/>
  <c r="AJ142" i="18"/>
  <c r="AE140" i="18"/>
  <c r="Z142" i="18"/>
  <c r="AK140" i="18"/>
  <c r="AE142" i="18"/>
  <c r="AU142" i="18"/>
  <c r="AR141" i="18"/>
  <c r="AF148" i="18"/>
  <c r="AO141" i="18"/>
  <c r="AJ141" i="18"/>
  <c r="AG141" i="18"/>
  <c r="Y76" i="18"/>
  <c r="W44" i="18"/>
  <c r="Z148" i="18"/>
  <c r="Z141" i="18"/>
  <c r="Z133" i="18"/>
  <c r="Z146" i="18" s="1"/>
  <c r="Z23" i="18" s="1"/>
  <c r="Z132" i="18"/>
  <c r="Z22" i="18" s="1"/>
  <c r="Z21" i="18"/>
  <c r="AB189" i="18"/>
  <c r="AV43" i="18" s="1"/>
  <c r="AS43" i="18"/>
  <c r="AL148" i="18"/>
  <c r="AL141" i="18"/>
  <c r="AL132" i="18"/>
  <c r="AL22" i="18" s="1"/>
  <c r="AL133" i="18"/>
  <c r="AL21" i="18"/>
  <c r="V148" i="18"/>
  <c r="V141" i="18"/>
  <c r="V132" i="18"/>
  <c r="V22" i="18" s="1"/>
  <c r="V21" i="18"/>
  <c r="V133" i="18"/>
  <c r="V146" i="18" s="1"/>
  <c r="V23" i="18" s="1"/>
  <c r="AC141" i="18"/>
  <c r="AL140" i="18"/>
  <c r="AL142" i="18"/>
  <c r="AM140" i="18"/>
  <c r="AS142" i="18"/>
  <c r="AN140" i="18"/>
  <c r="AT142" i="18"/>
  <c r="AJ140" i="18"/>
  <c r="AF142" i="18"/>
  <c r="Y140" i="18"/>
  <c r="AO140" i="18"/>
  <c r="AI142" i="18"/>
  <c r="Y141" i="18"/>
  <c r="W43" i="18"/>
  <c r="BC148" i="18"/>
  <c r="BC141" i="18"/>
  <c r="BC144" i="18" s="1"/>
  <c r="BC29" i="18" s="1"/>
  <c r="BC21" i="18"/>
  <c r="BC132" i="18"/>
  <c r="BC22" i="18" s="1"/>
  <c r="BC133" i="18"/>
  <c r="BC146" i="18" s="1"/>
  <c r="BC23" i="18" s="1"/>
  <c r="AM148" i="18"/>
  <c r="AM141" i="18"/>
  <c r="AM133" i="18"/>
  <c r="AM146" i="18" s="1"/>
  <c r="AM23" i="18" s="1"/>
  <c r="AM21" i="18"/>
  <c r="AM132" i="18"/>
  <c r="AM22" i="18" s="1"/>
  <c r="W148" i="18"/>
  <c r="W141" i="18"/>
  <c r="W21" i="18"/>
  <c r="W133" i="18"/>
  <c r="W146" i="18" s="1"/>
  <c r="W23" i="18" s="1"/>
  <c r="W132" i="18"/>
  <c r="W22" i="18" s="1"/>
  <c r="AQ140" i="18"/>
  <c r="AR140" i="18"/>
  <c r="AK142" i="18"/>
  <c r="AS140" i="18"/>
  <c r="AM142" i="18"/>
  <c r="AR148" i="18"/>
  <c r="AJ31" i="18"/>
  <c r="AG33" i="18"/>
  <c r="AK141" i="18"/>
  <c r="AB141" i="18"/>
  <c r="AO148" i="18"/>
  <c r="AJ148" i="18"/>
  <c r="AV143" i="18" l="1"/>
  <c r="S145" i="18"/>
  <c r="S30" i="18" s="1"/>
  <c r="V143" i="18"/>
  <c r="V145" i="18" s="1"/>
  <c r="V30" i="18" s="1"/>
  <c r="O223" i="18"/>
  <c r="AC24" i="18" s="1"/>
  <c r="N223" i="18"/>
  <c r="AB24" i="18" s="1"/>
  <c r="M223" i="18"/>
  <c r="AA24" i="18" s="1"/>
  <c r="L223" i="18"/>
  <c r="Z24" i="18" s="1"/>
  <c r="K223" i="18"/>
  <c r="Y24" i="18" s="1"/>
  <c r="J223" i="18"/>
  <c r="X24" i="18" s="1"/>
  <c r="H223" i="18"/>
  <c r="V24" i="18" s="1"/>
  <c r="G223" i="18"/>
  <c r="U24" i="18" s="1"/>
  <c r="F223" i="18"/>
  <c r="T24" i="18" s="1"/>
  <c r="U143" i="18"/>
  <c r="U145" i="18" s="1"/>
  <c r="U30" i="18" s="1"/>
  <c r="AA240" i="18"/>
  <c r="AM240" i="18"/>
  <c r="AM223" i="18" s="1"/>
  <c r="BA24" i="18" s="1"/>
  <c r="AQ240" i="18"/>
  <c r="AQ223" i="18" s="1"/>
  <c r="BE24" i="18" s="1"/>
  <c r="AG240" i="18"/>
  <c r="AL240" i="18"/>
  <c r="AL223" i="18" s="1"/>
  <c r="AZ24" i="18" s="1"/>
  <c r="AI240" i="18"/>
  <c r="AI223" i="18" s="1"/>
  <c r="AW24" i="18" s="1"/>
  <c r="Z240" i="18"/>
  <c r="AD240" i="18"/>
  <c r="AP240" i="18"/>
  <c r="AP223" i="18" s="1"/>
  <c r="BD24" i="18" s="1"/>
  <c r="AF240" i="18"/>
  <c r="AC240" i="18"/>
  <c r="AB240" i="18"/>
  <c r="AH240" i="18"/>
  <c r="AN240" i="18"/>
  <c r="AN223" i="18" s="1"/>
  <c r="BB24" i="18" s="1"/>
  <c r="Y240" i="18"/>
  <c r="AK240" i="18"/>
  <c r="AK223" i="18" s="1"/>
  <c r="AY24" i="18" s="1"/>
  <c r="AJ240" i="18"/>
  <c r="AJ223" i="18" s="1"/>
  <c r="AX24" i="18" s="1"/>
  <c r="AO240" i="18"/>
  <c r="AO223" i="18" s="1"/>
  <c r="BC24" i="18" s="1"/>
  <c r="AI125" i="18"/>
  <c r="AE125" i="18"/>
  <c r="AA125" i="18"/>
  <c r="AG125" i="18"/>
  <c r="AC125" i="18"/>
  <c r="AZ98" i="18"/>
  <c r="G203" i="18"/>
  <c r="L121" i="18" s="1"/>
  <c r="J203" i="18"/>
  <c r="O121" i="18" s="1"/>
  <c r="D203" i="18"/>
  <c r="I121" i="18" s="1"/>
  <c r="AR143" i="18"/>
  <c r="AR145" i="18" s="1"/>
  <c r="AR30" i="18" s="1"/>
  <c r="X143" i="18"/>
  <c r="X28" i="18" s="1"/>
  <c r="W143" i="18"/>
  <c r="W28" i="18" s="1"/>
  <c r="T145" i="18"/>
  <c r="T30" i="18" s="1"/>
  <c r="Y143" i="18"/>
  <c r="Y28" i="18" s="1"/>
  <c r="AI143" i="18"/>
  <c r="AI145" i="18" s="1"/>
  <c r="AI30" i="18" s="1"/>
  <c r="AD143" i="18"/>
  <c r="AD145" i="18" s="1"/>
  <c r="AD30" i="18" s="1"/>
  <c r="AN143" i="18"/>
  <c r="AN144" i="18" s="1"/>
  <c r="AN29" i="18" s="1"/>
  <c r="T144" i="18"/>
  <c r="T29" i="18" s="1"/>
  <c r="AQ143" i="18"/>
  <c r="AQ28" i="18" s="1"/>
  <c r="AJ143" i="18"/>
  <c r="AJ145" i="18" s="1"/>
  <c r="AJ30" i="18" s="1"/>
  <c r="AM143" i="18"/>
  <c r="AM145" i="18" s="1"/>
  <c r="AM30" i="18" s="1"/>
  <c r="Z143" i="18"/>
  <c r="Z144" i="18" s="1"/>
  <c r="Z29" i="18" s="1"/>
  <c r="AE143" i="18"/>
  <c r="AE145" i="18" s="1"/>
  <c r="AE30" i="18" s="1"/>
  <c r="AF143" i="18"/>
  <c r="AF144" i="18" s="1"/>
  <c r="AF29" i="18" s="1"/>
  <c r="AK143" i="18"/>
  <c r="AK144" i="18" s="1"/>
  <c r="AK29" i="18" s="1"/>
  <c r="AH143" i="18"/>
  <c r="AH145" i="18" s="1"/>
  <c r="AH30" i="18" s="1"/>
  <c r="AO143" i="18"/>
  <c r="AO144" i="18" s="1"/>
  <c r="AO29" i="18" s="1"/>
  <c r="AB143" i="18"/>
  <c r="AB144" i="18" s="1"/>
  <c r="AB29" i="18" s="1"/>
  <c r="AC143" i="18"/>
  <c r="AC144" i="18" s="1"/>
  <c r="AC29" i="18" s="1"/>
  <c r="AL143" i="18"/>
  <c r="AL144" i="18" s="1"/>
  <c r="AL29" i="18" s="1"/>
  <c r="E194" i="18"/>
  <c r="AL146" i="18"/>
  <c r="AL23" i="18" s="1"/>
  <c r="AG143" i="18"/>
  <c r="AG144" i="18" s="1"/>
  <c r="AG29" i="18" s="1"/>
  <c r="AP143" i="18"/>
  <c r="AP144" i="18" s="1"/>
  <c r="AP29" i="18" s="1"/>
  <c r="AS143" i="18"/>
  <c r="AS144" i="18" s="1"/>
  <c r="AS29" i="18" s="1"/>
  <c r="AA143" i="18"/>
  <c r="AA144" i="18" s="1"/>
  <c r="AA29" i="18" s="1"/>
  <c r="AT143" i="18"/>
  <c r="AU143" i="18"/>
  <c r="AU144" i="18" s="1"/>
  <c r="AU29" i="18" s="1"/>
  <c r="AF223" i="18" l="1"/>
  <c r="AT24" i="18" s="1"/>
  <c r="AH223" i="18"/>
  <c r="AV24" i="18" s="1"/>
  <c r="AA223" i="18"/>
  <c r="AO24" i="18" s="1"/>
  <c r="AV145" i="18"/>
  <c r="AV30" i="18" s="1"/>
  <c r="AV28" i="18"/>
  <c r="AB223" i="18"/>
  <c r="AP24" i="18" s="1"/>
  <c r="AD223" i="18"/>
  <c r="AR24" i="18" s="1"/>
  <c r="AG223" i="18"/>
  <c r="AU24" i="18" s="1"/>
  <c r="Y223" i="18"/>
  <c r="AM24" i="18" s="1"/>
  <c r="AC223" i="18"/>
  <c r="AQ24" i="18" s="1"/>
  <c r="Z223" i="18"/>
  <c r="AN24" i="18" s="1"/>
  <c r="AV144" i="18"/>
  <c r="AV29" i="18" s="1"/>
  <c r="V144" i="18"/>
  <c r="V29" i="18" s="1"/>
  <c r="V28" i="18"/>
  <c r="U144" i="18"/>
  <c r="U29" i="18" s="1"/>
  <c r="U28" i="18"/>
  <c r="AI126" i="18"/>
  <c r="AE126" i="18"/>
  <c r="AA126" i="18"/>
  <c r="AC126" i="18"/>
  <c r="AG126" i="18"/>
  <c r="AR144" i="18"/>
  <c r="AR29" i="18" s="1"/>
  <c r="AR28" i="18"/>
  <c r="AQ144" i="18"/>
  <c r="AQ29" i="18" s="1"/>
  <c r="X144" i="18"/>
  <c r="X29" i="18" s="1"/>
  <c r="X145" i="18"/>
  <c r="X30" i="18" s="1"/>
  <c r="W144" i="18"/>
  <c r="W29" i="18" s="1"/>
  <c r="W145" i="18"/>
  <c r="W30" i="18" s="1"/>
  <c r="Y145" i="18"/>
  <c r="Y30" i="18" s="1"/>
  <c r="AD144" i="18"/>
  <c r="AD29" i="18" s="1"/>
  <c r="AI28" i="18"/>
  <c r="Y144" i="18"/>
  <c r="Y29" i="18" s="1"/>
  <c r="AI144" i="18"/>
  <c r="AI29" i="18" s="1"/>
  <c r="AD28" i="18"/>
  <c r="AN28" i="18"/>
  <c r="AM144" i="18"/>
  <c r="AM29" i="18" s="1"/>
  <c r="AN145" i="18"/>
  <c r="AN30" i="18" s="1"/>
  <c r="AJ144" i="18"/>
  <c r="AJ29" i="18" s="1"/>
  <c r="AH144" i="18"/>
  <c r="AH29" i="18" s="1"/>
  <c r="AE144" i="18"/>
  <c r="AE29" i="18" s="1"/>
  <c r="AQ145" i="18"/>
  <c r="AQ30" i="18" s="1"/>
  <c r="Z145" i="18"/>
  <c r="Z30" i="18" s="1"/>
  <c r="AE28" i="18"/>
  <c r="AJ28" i="18"/>
  <c r="AH28" i="18"/>
  <c r="Z28" i="18"/>
  <c r="AF145" i="18"/>
  <c r="AF30" i="18" s="1"/>
  <c r="AM28" i="18"/>
  <c r="AK28" i="18"/>
  <c r="AF28" i="18"/>
  <c r="AK145" i="18"/>
  <c r="AK30" i="18" s="1"/>
  <c r="AS145" i="18"/>
  <c r="AS30" i="18" s="1"/>
  <c r="AS28" i="18"/>
  <c r="AC145" i="18"/>
  <c r="AC30" i="18" s="1"/>
  <c r="AC28" i="18"/>
  <c r="AT145" i="18"/>
  <c r="AT30" i="18" s="1"/>
  <c r="AT28" i="18"/>
  <c r="AT144" i="18"/>
  <c r="AT29" i="18" s="1"/>
  <c r="AG145" i="18"/>
  <c r="AG30" i="18" s="1"/>
  <c r="AG28" i="18"/>
  <c r="AB145" i="18"/>
  <c r="AB30" i="18" s="1"/>
  <c r="AB28" i="18"/>
  <c r="AO145" i="18"/>
  <c r="AO30" i="18" s="1"/>
  <c r="AO28" i="18"/>
  <c r="AU145" i="18"/>
  <c r="AU30" i="18" s="1"/>
  <c r="AU28" i="18"/>
  <c r="AA145" i="18"/>
  <c r="AA30" i="18" s="1"/>
  <c r="AA28" i="18"/>
  <c r="AP145" i="18"/>
  <c r="AP30" i="18" s="1"/>
  <c r="AP28" i="18"/>
  <c r="AL145" i="18"/>
  <c r="AL30" i="18" s="1"/>
  <c r="AL28" i="18"/>
  <c r="T190" i="18" l="1"/>
  <c r="AK44" i="18" s="1"/>
  <c r="T191" i="18"/>
  <c r="AK45" i="18" s="1"/>
  <c r="AD189" i="18"/>
  <c r="T189" i="18"/>
  <c r="AK43" i="18" s="1"/>
  <c r="AD190" i="18"/>
  <c r="H1002" i="9" l="1"/>
  <c r="G1002" i="9"/>
  <c r="D1002" i="9"/>
  <c r="C1002" i="9"/>
  <c r="H1001" i="9"/>
  <c r="G1001" i="9"/>
  <c r="D1001" i="9"/>
  <c r="C1001" i="9"/>
  <c r="H1000" i="9"/>
  <c r="G1000" i="9"/>
  <c r="D1000" i="9"/>
  <c r="C1000" i="9"/>
  <c r="H999" i="9"/>
  <c r="G999" i="9"/>
  <c r="D999" i="9"/>
  <c r="C999" i="9"/>
  <c r="H998" i="9"/>
  <c r="G998" i="9"/>
  <c r="D998" i="9"/>
  <c r="C998" i="9"/>
  <c r="H997" i="9"/>
  <c r="G997" i="9"/>
  <c r="D997" i="9"/>
  <c r="C997" i="9"/>
  <c r="H996" i="9"/>
  <c r="G996" i="9"/>
  <c r="D996" i="9"/>
  <c r="C996" i="9"/>
  <c r="H995" i="9"/>
  <c r="G995" i="9"/>
  <c r="D995" i="9"/>
  <c r="C995" i="9"/>
  <c r="H994" i="9"/>
  <c r="G994" i="9"/>
  <c r="D994" i="9"/>
  <c r="C994" i="9"/>
  <c r="H993" i="9"/>
  <c r="G993" i="9"/>
  <c r="D993" i="9"/>
  <c r="C993" i="9"/>
  <c r="H992" i="9"/>
  <c r="G992" i="9"/>
  <c r="D992" i="9"/>
  <c r="C992" i="9"/>
  <c r="H991" i="9"/>
  <c r="G991" i="9"/>
  <c r="D991" i="9"/>
  <c r="C991" i="9"/>
  <c r="H990" i="9"/>
  <c r="G990" i="9"/>
  <c r="D990" i="9"/>
  <c r="C990" i="9"/>
  <c r="H989" i="9"/>
  <c r="G989" i="9"/>
  <c r="D989" i="9"/>
  <c r="C989" i="9"/>
  <c r="H988" i="9"/>
  <c r="G988" i="9"/>
  <c r="D988" i="9"/>
  <c r="C988" i="9"/>
  <c r="H987" i="9"/>
  <c r="G987" i="9"/>
  <c r="D987" i="9"/>
  <c r="C987" i="9"/>
  <c r="H986" i="9"/>
  <c r="G986" i="9"/>
  <c r="D986" i="9"/>
  <c r="C986" i="9"/>
  <c r="H985" i="9"/>
  <c r="G985" i="9"/>
  <c r="D985" i="9"/>
  <c r="C985" i="9"/>
  <c r="H984" i="9"/>
  <c r="G984" i="9"/>
  <c r="D984" i="9"/>
  <c r="C984" i="9"/>
  <c r="H983" i="9"/>
  <c r="G983" i="9"/>
  <c r="D983" i="9"/>
  <c r="C983" i="9"/>
  <c r="H982" i="9"/>
  <c r="G982" i="9"/>
  <c r="D982" i="9"/>
  <c r="C982" i="9"/>
  <c r="H981" i="9"/>
  <c r="G981" i="9"/>
  <c r="D981" i="9"/>
  <c r="C981" i="9"/>
  <c r="H980" i="9"/>
  <c r="G980" i="9"/>
  <c r="D980" i="9"/>
  <c r="C980" i="9"/>
  <c r="H979" i="9"/>
  <c r="G979" i="9"/>
  <c r="D979" i="9"/>
  <c r="C979" i="9"/>
  <c r="H978" i="9"/>
  <c r="G978" i="9"/>
  <c r="D978" i="9"/>
  <c r="C978" i="9"/>
  <c r="H977" i="9"/>
  <c r="G977" i="9"/>
  <c r="D977" i="9"/>
  <c r="C977" i="9"/>
  <c r="H976" i="9"/>
  <c r="G976" i="9"/>
  <c r="D976" i="9"/>
  <c r="C976" i="9"/>
  <c r="H975" i="9"/>
  <c r="G975" i="9"/>
  <c r="D975" i="9"/>
  <c r="C975" i="9"/>
  <c r="H974" i="9"/>
  <c r="G974" i="9"/>
  <c r="D974" i="9"/>
  <c r="C974" i="9"/>
  <c r="H973" i="9"/>
  <c r="G973" i="9"/>
  <c r="D973" i="9"/>
  <c r="C973" i="9"/>
  <c r="H972" i="9"/>
  <c r="G972" i="9"/>
  <c r="D972" i="9"/>
  <c r="C972" i="9"/>
  <c r="H971" i="9"/>
  <c r="G971" i="9"/>
  <c r="D971" i="9"/>
  <c r="C971" i="9"/>
  <c r="H970" i="9"/>
  <c r="G970" i="9"/>
  <c r="D970" i="9"/>
  <c r="C970" i="9"/>
  <c r="H969" i="9"/>
  <c r="G969" i="9"/>
  <c r="D969" i="9"/>
  <c r="C969" i="9"/>
  <c r="H968" i="9"/>
  <c r="G968" i="9"/>
  <c r="D968" i="9"/>
  <c r="C968" i="9"/>
  <c r="H967" i="9"/>
  <c r="G967" i="9"/>
  <c r="D967" i="9"/>
  <c r="C967" i="9"/>
  <c r="H966" i="9"/>
  <c r="G966" i="9"/>
  <c r="D966" i="9"/>
  <c r="C966" i="9"/>
  <c r="H965" i="9"/>
  <c r="G965" i="9"/>
  <c r="D965" i="9"/>
  <c r="C965" i="9"/>
  <c r="H964" i="9"/>
  <c r="G964" i="9"/>
  <c r="D964" i="9"/>
  <c r="C964" i="9"/>
  <c r="H963" i="9"/>
  <c r="G963" i="9"/>
  <c r="D963" i="9"/>
  <c r="C963" i="9"/>
  <c r="H962" i="9"/>
  <c r="G962" i="9"/>
  <c r="D962" i="9"/>
  <c r="C962" i="9"/>
  <c r="H961" i="9"/>
  <c r="G961" i="9"/>
  <c r="D961" i="9"/>
  <c r="C961" i="9"/>
  <c r="H960" i="9"/>
  <c r="G960" i="9"/>
  <c r="D960" i="9"/>
  <c r="C960" i="9"/>
  <c r="H959" i="9"/>
  <c r="G959" i="9"/>
  <c r="D959" i="9"/>
  <c r="C959" i="9"/>
  <c r="H958" i="9"/>
  <c r="G958" i="9"/>
  <c r="D958" i="9"/>
  <c r="C958" i="9"/>
  <c r="H957" i="9"/>
  <c r="G957" i="9"/>
  <c r="D957" i="9"/>
  <c r="C957" i="9"/>
  <c r="H956" i="9"/>
  <c r="G956" i="9"/>
  <c r="D956" i="9"/>
  <c r="C956" i="9"/>
  <c r="H955" i="9"/>
  <c r="G955" i="9"/>
  <c r="D955" i="9"/>
  <c r="C955" i="9"/>
  <c r="H954" i="9"/>
  <c r="G954" i="9"/>
  <c r="D954" i="9"/>
  <c r="C954" i="9"/>
  <c r="H953" i="9"/>
  <c r="G953" i="9"/>
  <c r="D953" i="9"/>
  <c r="C953" i="9"/>
  <c r="H952" i="9"/>
  <c r="G952" i="9"/>
  <c r="D952" i="9"/>
  <c r="C952" i="9"/>
  <c r="H951" i="9"/>
  <c r="G951" i="9"/>
  <c r="D951" i="9"/>
  <c r="C951" i="9"/>
  <c r="H950" i="9"/>
  <c r="G950" i="9"/>
  <c r="D950" i="9"/>
  <c r="C950" i="9"/>
  <c r="H949" i="9"/>
  <c r="G949" i="9"/>
  <c r="D949" i="9"/>
  <c r="C949" i="9"/>
  <c r="H948" i="9"/>
  <c r="G948" i="9"/>
  <c r="D948" i="9"/>
  <c r="C948" i="9"/>
  <c r="H947" i="9"/>
  <c r="G947" i="9"/>
  <c r="D947" i="9"/>
  <c r="C947" i="9"/>
  <c r="H946" i="9"/>
  <c r="G946" i="9"/>
  <c r="D946" i="9"/>
  <c r="C946" i="9"/>
  <c r="H945" i="9"/>
  <c r="G945" i="9"/>
  <c r="D945" i="9"/>
  <c r="C945" i="9"/>
  <c r="H944" i="9"/>
  <c r="G944" i="9"/>
  <c r="D944" i="9"/>
  <c r="C944" i="9"/>
  <c r="H943" i="9"/>
  <c r="G943" i="9"/>
  <c r="D943" i="9"/>
  <c r="C943" i="9"/>
  <c r="H942" i="9"/>
  <c r="G942" i="9"/>
  <c r="D942" i="9"/>
  <c r="C942" i="9"/>
  <c r="H941" i="9"/>
  <c r="G941" i="9"/>
  <c r="D941" i="9"/>
  <c r="C941" i="9"/>
  <c r="H940" i="9"/>
  <c r="G940" i="9"/>
  <c r="D940" i="9"/>
  <c r="C940" i="9"/>
  <c r="H939" i="9"/>
  <c r="G939" i="9"/>
  <c r="D939" i="9"/>
  <c r="C939" i="9"/>
  <c r="H938" i="9"/>
  <c r="G938" i="9"/>
  <c r="D938" i="9"/>
  <c r="C938" i="9"/>
  <c r="H937" i="9"/>
  <c r="G937" i="9"/>
  <c r="D937" i="9"/>
  <c r="C937" i="9"/>
  <c r="H936" i="9"/>
  <c r="G936" i="9"/>
  <c r="D936" i="9"/>
  <c r="C936" i="9"/>
  <c r="H935" i="9"/>
  <c r="G935" i="9"/>
  <c r="D935" i="9"/>
  <c r="C935" i="9"/>
  <c r="H934" i="9"/>
  <c r="G934" i="9"/>
  <c r="D934" i="9"/>
  <c r="C934" i="9"/>
  <c r="H933" i="9"/>
  <c r="G933" i="9"/>
  <c r="D933" i="9"/>
  <c r="C933" i="9"/>
  <c r="H932" i="9"/>
  <c r="G932" i="9"/>
  <c r="D932" i="9"/>
  <c r="C932" i="9"/>
  <c r="H931" i="9"/>
  <c r="G931" i="9"/>
  <c r="D931" i="9"/>
  <c r="C931" i="9"/>
  <c r="H930" i="9"/>
  <c r="G930" i="9"/>
  <c r="D930" i="9"/>
  <c r="C930" i="9"/>
  <c r="H929" i="9"/>
  <c r="G929" i="9"/>
  <c r="D929" i="9"/>
  <c r="C929" i="9"/>
  <c r="H928" i="9"/>
  <c r="G928" i="9"/>
  <c r="D928" i="9"/>
  <c r="C928" i="9"/>
  <c r="H927" i="9"/>
  <c r="G927" i="9"/>
  <c r="D927" i="9"/>
  <c r="C927" i="9"/>
  <c r="H926" i="9"/>
  <c r="G926" i="9"/>
  <c r="D926" i="9"/>
  <c r="C926" i="9"/>
  <c r="H925" i="9"/>
  <c r="G925" i="9"/>
  <c r="D925" i="9"/>
  <c r="C925" i="9"/>
  <c r="H924" i="9"/>
  <c r="G924" i="9"/>
  <c r="D924" i="9"/>
  <c r="C924" i="9"/>
  <c r="H923" i="9"/>
  <c r="G923" i="9"/>
  <c r="D923" i="9"/>
  <c r="C923" i="9"/>
  <c r="H922" i="9"/>
  <c r="G922" i="9"/>
  <c r="D922" i="9"/>
  <c r="C922" i="9"/>
  <c r="H921" i="9"/>
  <c r="G921" i="9"/>
  <c r="D921" i="9"/>
  <c r="C921" i="9"/>
  <c r="H920" i="9"/>
  <c r="G920" i="9"/>
  <c r="D920" i="9"/>
  <c r="C920" i="9"/>
  <c r="H919" i="9"/>
  <c r="G919" i="9"/>
  <c r="D919" i="9"/>
  <c r="C919" i="9"/>
  <c r="H918" i="9"/>
  <c r="G918" i="9"/>
  <c r="D918" i="9"/>
  <c r="C918" i="9"/>
  <c r="H917" i="9"/>
  <c r="G917" i="9"/>
  <c r="D917" i="9"/>
  <c r="C917" i="9"/>
  <c r="H916" i="9"/>
  <c r="G916" i="9"/>
  <c r="D916" i="9"/>
  <c r="C916" i="9"/>
  <c r="H915" i="9"/>
  <c r="G915" i="9"/>
  <c r="D915" i="9"/>
  <c r="C915" i="9"/>
  <c r="H914" i="9"/>
  <c r="G914" i="9"/>
  <c r="D914" i="9"/>
  <c r="C914" i="9"/>
  <c r="H913" i="9"/>
  <c r="G913" i="9"/>
  <c r="D913" i="9"/>
  <c r="C913" i="9"/>
  <c r="H912" i="9"/>
  <c r="G912" i="9"/>
  <c r="D912" i="9"/>
  <c r="C912" i="9"/>
  <c r="H911" i="9"/>
  <c r="G911" i="9"/>
  <c r="D911" i="9"/>
  <c r="C911" i="9"/>
  <c r="H910" i="9"/>
  <c r="G910" i="9"/>
  <c r="D910" i="9"/>
  <c r="C910" i="9"/>
  <c r="H909" i="9"/>
  <c r="G909" i="9"/>
  <c r="D909" i="9"/>
  <c r="C909" i="9"/>
  <c r="H908" i="9"/>
  <c r="G908" i="9"/>
  <c r="D908" i="9"/>
  <c r="C908" i="9"/>
  <c r="H907" i="9"/>
  <c r="G907" i="9"/>
  <c r="D907" i="9"/>
  <c r="C907" i="9"/>
  <c r="H906" i="9"/>
  <c r="G906" i="9"/>
  <c r="D906" i="9"/>
  <c r="C906" i="9"/>
  <c r="H905" i="9"/>
  <c r="G905" i="9"/>
  <c r="D905" i="9"/>
  <c r="C905" i="9"/>
  <c r="H904" i="9"/>
  <c r="G904" i="9"/>
  <c r="D904" i="9"/>
  <c r="C904" i="9"/>
  <c r="H903" i="9"/>
  <c r="G903" i="9"/>
  <c r="D903" i="9"/>
  <c r="C903" i="9"/>
  <c r="H902" i="9"/>
  <c r="G902" i="9"/>
  <c r="D902" i="9"/>
  <c r="C902" i="9"/>
  <c r="H901" i="9"/>
  <c r="G901" i="9"/>
  <c r="D901" i="9"/>
  <c r="C901" i="9"/>
  <c r="H900" i="9"/>
  <c r="G900" i="9"/>
  <c r="D900" i="9"/>
  <c r="C900" i="9"/>
  <c r="H899" i="9"/>
  <c r="G899" i="9"/>
  <c r="D899" i="9"/>
  <c r="C899" i="9"/>
  <c r="H898" i="9"/>
  <c r="G898" i="9"/>
  <c r="D898" i="9"/>
  <c r="C898" i="9"/>
  <c r="H897" i="9"/>
  <c r="G897" i="9"/>
  <c r="D897" i="9"/>
  <c r="C897" i="9"/>
  <c r="H896" i="9"/>
  <c r="G896" i="9"/>
  <c r="D896" i="9"/>
  <c r="C896" i="9"/>
  <c r="H895" i="9"/>
  <c r="G895" i="9"/>
  <c r="D895" i="9"/>
  <c r="C895" i="9"/>
  <c r="H894" i="9"/>
  <c r="G894" i="9"/>
  <c r="D894" i="9"/>
  <c r="C894" i="9"/>
  <c r="H893" i="9"/>
  <c r="G893" i="9"/>
  <c r="D893" i="9"/>
  <c r="C893" i="9"/>
  <c r="H892" i="9"/>
  <c r="G892" i="9"/>
  <c r="D892" i="9"/>
  <c r="C892" i="9"/>
  <c r="H891" i="9"/>
  <c r="G891" i="9"/>
  <c r="D891" i="9"/>
  <c r="C891" i="9"/>
  <c r="H890" i="9"/>
  <c r="G890" i="9"/>
  <c r="D890" i="9"/>
  <c r="C890" i="9"/>
  <c r="H889" i="9"/>
  <c r="G889" i="9"/>
  <c r="D889" i="9"/>
  <c r="C889" i="9"/>
  <c r="H888" i="9"/>
  <c r="G888" i="9"/>
  <c r="D888" i="9"/>
  <c r="C888" i="9"/>
  <c r="H887" i="9"/>
  <c r="G887" i="9"/>
  <c r="D887" i="9"/>
  <c r="C887" i="9"/>
  <c r="H886" i="9"/>
  <c r="G886" i="9"/>
  <c r="D886" i="9"/>
  <c r="C886" i="9"/>
  <c r="H885" i="9"/>
  <c r="G885" i="9"/>
  <c r="D885" i="9"/>
  <c r="C885" i="9"/>
  <c r="H884" i="9"/>
  <c r="G884" i="9"/>
  <c r="D884" i="9"/>
  <c r="C884" i="9"/>
  <c r="H883" i="9"/>
  <c r="G883" i="9"/>
  <c r="D883" i="9"/>
  <c r="C883" i="9"/>
  <c r="H882" i="9"/>
  <c r="G882" i="9"/>
  <c r="D882" i="9"/>
  <c r="C882" i="9"/>
  <c r="H881" i="9"/>
  <c r="G881" i="9"/>
  <c r="D881" i="9"/>
  <c r="C881" i="9"/>
  <c r="H880" i="9"/>
  <c r="G880" i="9"/>
  <c r="D880" i="9"/>
  <c r="C880" i="9"/>
  <c r="H879" i="9"/>
  <c r="G879" i="9"/>
  <c r="D879" i="9"/>
  <c r="C879" i="9"/>
  <c r="H878" i="9"/>
  <c r="G878" i="9"/>
  <c r="D878" i="9"/>
  <c r="C878" i="9"/>
  <c r="H877" i="9"/>
  <c r="G877" i="9"/>
  <c r="D877" i="9"/>
  <c r="C877" i="9"/>
  <c r="H876" i="9"/>
  <c r="G876" i="9"/>
  <c r="D876" i="9"/>
  <c r="C876" i="9"/>
  <c r="H875" i="9"/>
  <c r="G875" i="9"/>
  <c r="D875" i="9"/>
  <c r="C875" i="9"/>
  <c r="H874" i="9"/>
  <c r="G874" i="9"/>
  <c r="D874" i="9"/>
  <c r="C874" i="9"/>
  <c r="H873" i="9"/>
  <c r="G873" i="9"/>
  <c r="D873" i="9"/>
  <c r="C873" i="9"/>
  <c r="H872" i="9"/>
  <c r="G872" i="9"/>
  <c r="D872" i="9"/>
  <c r="C872" i="9"/>
  <c r="H871" i="9"/>
  <c r="G871" i="9"/>
  <c r="D871" i="9"/>
  <c r="C871" i="9"/>
  <c r="H870" i="9"/>
  <c r="G870" i="9"/>
  <c r="D870" i="9"/>
  <c r="C870" i="9"/>
  <c r="H869" i="9"/>
  <c r="G869" i="9"/>
  <c r="D869" i="9"/>
  <c r="C869" i="9"/>
  <c r="H868" i="9"/>
  <c r="G868" i="9"/>
  <c r="D868" i="9"/>
  <c r="C868" i="9"/>
  <c r="H867" i="9"/>
  <c r="G867" i="9"/>
  <c r="D867" i="9"/>
  <c r="C867" i="9"/>
  <c r="H866" i="9"/>
  <c r="G866" i="9"/>
  <c r="D866" i="9"/>
  <c r="C866" i="9"/>
  <c r="H865" i="9"/>
  <c r="G865" i="9"/>
  <c r="D865" i="9"/>
  <c r="C865" i="9"/>
  <c r="H864" i="9"/>
  <c r="G864" i="9"/>
  <c r="D864" i="9"/>
  <c r="C864" i="9"/>
  <c r="H863" i="9"/>
  <c r="G863" i="9"/>
  <c r="D863" i="9"/>
  <c r="C863" i="9"/>
  <c r="H862" i="9"/>
  <c r="G862" i="9"/>
  <c r="D862" i="9"/>
  <c r="C862" i="9"/>
  <c r="H861" i="9"/>
  <c r="G861" i="9"/>
  <c r="D861" i="9"/>
  <c r="C861" i="9"/>
  <c r="H860" i="9"/>
  <c r="G860" i="9"/>
  <c r="D860" i="9"/>
  <c r="C860" i="9"/>
  <c r="H859" i="9"/>
  <c r="G859" i="9"/>
  <c r="D859" i="9"/>
  <c r="C859" i="9"/>
  <c r="H858" i="9"/>
  <c r="G858" i="9"/>
  <c r="D858" i="9"/>
  <c r="C858" i="9"/>
  <c r="H857" i="9"/>
  <c r="G857" i="9"/>
  <c r="D857" i="9"/>
  <c r="C857" i="9"/>
  <c r="H856" i="9"/>
  <c r="G856" i="9"/>
  <c r="D856" i="9"/>
  <c r="C856" i="9"/>
  <c r="H855" i="9"/>
  <c r="G855" i="9"/>
  <c r="D855" i="9"/>
  <c r="C855" i="9"/>
  <c r="H854" i="9"/>
  <c r="G854" i="9"/>
  <c r="D854" i="9"/>
  <c r="C854" i="9"/>
  <c r="H853" i="9"/>
  <c r="G853" i="9"/>
  <c r="D853" i="9"/>
  <c r="C853" i="9"/>
  <c r="H852" i="9"/>
  <c r="G852" i="9"/>
  <c r="D852" i="9"/>
  <c r="C852" i="9"/>
  <c r="H851" i="9"/>
  <c r="G851" i="9"/>
  <c r="D851" i="9"/>
  <c r="C851" i="9"/>
  <c r="H850" i="9"/>
  <c r="G850" i="9"/>
  <c r="D850" i="9"/>
  <c r="C850" i="9"/>
  <c r="H849" i="9"/>
  <c r="G849" i="9"/>
  <c r="D849" i="9"/>
  <c r="C849" i="9"/>
  <c r="H848" i="9"/>
  <c r="G848" i="9"/>
  <c r="D848" i="9"/>
  <c r="C848" i="9"/>
  <c r="H847" i="9"/>
  <c r="G847" i="9"/>
  <c r="D847" i="9"/>
  <c r="C847" i="9"/>
  <c r="H846" i="9"/>
  <c r="G846" i="9"/>
  <c r="D846" i="9"/>
  <c r="C846" i="9"/>
  <c r="H845" i="9"/>
  <c r="G845" i="9"/>
  <c r="D845" i="9"/>
  <c r="C845" i="9"/>
  <c r="H844" i="9"/>
  <c r="G844" i="9"/>
  <c r="D844" i="9"/>
  <c r="C844" i="9"/>
  <c r="H843" i="9"/>
  <c r="G843" i="9"/>
  <c r="D843" i="9"/>
  <c r="C843" i="9"/>
  <c r="H842" i="9"/>
  <c r="G842" i="9"/>
  <c r="D842" i="9"/>
  <c r="C842" i="9"/>
  <c r="H841" i="9"/>
  <c r="G841" i="9"/>
  <c r="D841" i="9"/>
  <c r="C841" i="9"/>
  <c r="H840" i="9"/>
  <c r="G840" i="9"/>
  <c r="D840" i="9"/>
  <c r="C840" i="9"/>
  <c r="H839" i="9"/>
  <c r="G839" i="9"/>
  <c r="D839" i="9"/>
  <c r="C839" i="9"/>
  <c r="H838" i="9"/>
  <c r="G838" i="9"/>
  <c r="D838" i="9"/>
  <c r="C838" i="9"/>
  <c r="H837" i="9"/>
  <c r="G837" i="9"/>
  <c r="D837" i="9"/>
  <c r="C837" i="9"/>
  <c r="H836" i="9"/>
  <c r="G836" i="9"/>
  <c r="D836" i="9"/>
  <c r="C836" i="9"/>
  <c r="H835" i="9"/>
  <c r="G835" i="9"/>
  <c r="D835" i="9"/>
  <c r="C835" i="9"/>
  <c r="H834" i="9"/>
  <c r="G834" i="9"/>
  <c r="D834" i="9"/>
  <c r="C834" i="9"/>
  <c r="H833" i="9"/>
  <c r="G833" i="9"/>
  <c r="D833" i="9"/>
  <c r="C833" i="9"/>
  <c r="H832" i="9"/>
  <c r="G832" i="9"/>
  <c r="D832" i="9"/>
  <c r="C832" i="9"/>
  <c r="H831" i="9"/>
  <c r="G831" i="9"/>
  <c r="D831" i="9"/>
  <c r="C831" i="9"/>
  <c r="H830" i="9"/>
  <c r="G830" i="9"/>
  <c r="D830" i="9"/>
  <c r="C830" i="9"/>
  <c r="H829" i="9"/>
  <c r="G829" i="9"/>
  <c r="D829" i="9"/>
  <c r="C829" i="9"/>
  <c r="H828" i="9"/>
  <c r="G828" i="9"/>
  <c r="D828" i="9"/>
  <c r="C828" i="9"/>
  <c r="H827" i="9"/>
  <c r="G827" i="9"/>
  <c r="D827" i="9"/>
  <c r="C827" i="9"/>
  <c r="H826" i="9"/>
  <c r="G826" i="9"/>
  <c r="D826" i="9"/>
  <c r="C826" i="9"/>
  <c r="H825" i="9"/>
  <c r="G825" i="9"/>
  <c r="D825" i="9"/>
  <c r="C825" i="9"/>
  <c r="H824" i="9"/>
  <c r="G824" i="9"/>
  <c r="D824" i="9"/>
  <c r="C824" i="9"/>
  <c r="H823" i="9"/>
  <c r="G823" i="9"/>
  <c r="D823" i="9"/>
  <c r="C823" i="9"/>
  <c r="H822" i="9"/>
  <c r="G822" i="9"/>
  <c r="D822" i="9"/>
  <c r="C822" i="9"/>
  <c r="H821" i="9"/>
  <c r="G821" i="9"/>
  <c r="D821" i="9"/>
  <c r="C821" i="9"/>
  <c r="H820" i="9"/>
  <c r="G820" i="9"/>
  <c r="D820" i="9"/>
  <c r="C820" i="9"/>
  <c r="H819" i="9"/>
  <c r="G819" i="9"/>
  <c r="D819" i="9"/>
  <c r="C819" i="9"/>
  <c r="H818" i="9"/>
  <c r="G818" i="9"/>
  <c r="D818" i="9"/>
  <c r="C818" i="9"/>
  <c r="H817" i="9"/>
  <c r="G817" i="9"/>
  <c r="D817" i="9"/>
  <c r="C817" i="9"/>
  <c r="H816" i="9"/>
  <c r="G816" i="9"/>
  <c r="D816" i="9"/>
  <c r="C816" i="9"/>
  <c r="H815" i="9"/>
  <c r="G815" i="9"/>
  <c r="D815" i="9"/>
  <c r="C815" i="9"/>
  <c r="H814" i="9"/>
  <c r="G814" i="9"/>
  <c r="D814" i="9"/>
  <c r="C814" i="9"/>
  <c r="H813" i="9"/>
  <c r="G813" i="9"/>
  <c r="D813" i="9"/>
  <c r="C813" i="9"/>
  <c r="H812" i="9"/>
  <c r="G812" i="9"/>
  <c r="D812" i="9"/>
  <c r="C812" i="9"/>
  <c r="H811" i="9"/>
  <c r="G811" i="9"/>
  <c r="D811" i="9"/>
  <c r="C811" i="9"/>
  <c r="H810" i="9"/>
  <c r="G810" i="9"/>
  <c r="D810" i="9"/>
  <c r="C810" i="9"/>
  <c r="H809" i="9"/>
  <c r="G809" i="9"/>
  <c r="D809" i="9"/>
  <c r="C809" i="9"/>
  <c r="H808" i="9"/>
  <c r="G808" i="9"/>
  <c r="D808" i="9"/>
  <c r="C808" i="9"/>
  <c r="H807" i="9"/>
  <c r="G807" i="9"/>
  <c r="D807" i="9"/>
  <c r="C807" i="9"/>
  <c r="H806" i="9"/>
  <c r="G806" i="9"/>
  <c r="D806" i="9"/>
  <c r="C806" i="9"/>
  <c r="H805" i="9"/>
  <c r="G805" i="9"/>
  <c r="D805" i="9"/>
  <c r="C805" i="9"/>
  <c r="H804" i="9"/>
  <c r="G804" i="9"/>
  <c r="D804" i="9"/>
  <c r="C804" i="9"/>
  <c r="H803" i="9"/>
  <c r="G803" i="9"/>
  <c r="D803" i="9"/>
  <c r="C803" i="9"/>
  <c r="H802" i="9"/>
  <c r="G802" i="9"/>
  <c r="D802" i="9"/>
  <c r="C802" i="9"/>
  <c r="H801" i="9"/>
  <c r="G801" i="9"/>
  <c r="D801" i="9"/>
  <c r="C801" i="9"/>
  <c r="H800" i="9"/>
  <c r="G800" i="9"/>
  <c r="D800" i="9"/>
  <c r="C800" i="9"/>
  <c r="H799" i="9"/>
  <c r="G799" i="9"/>
  <c r="D799" i="9"/>
  <c r="C799" i="9"/>
  <c r="H798" i="9"/>
  <c r="G798" i="9"/>
  <c r="D798" i="9"/>
  <c r="C798" i="9"/>
  <c r="H797" i="9"/>
  <c r="G797" i="9"/>
  <c r="D797" i="9"/>
  <c r="C797" i="9"/>
  <c r="H796" i="9"/>
  <c r="G796" i="9"/>
  <c r="D796" i="9"/>
  <c r="C796" i="9"/>
  <c r="H795" i="9"/>
  <c r="G795" i="9"/>
  <c r="D795" i="9"/>
  <c r="C795" i="9"/>
  <c r="H794" i="9"/>
  <c r="G794" i="9"/>
  <c r="D794" i="9"/>
  <c r="C794" i="9"/>
  <c r="H793" i="9"/>
  <c r="G793" i="9"/>
  <c r="D793" i="9"/>
  <c r="C793" i="9"/>
  <c r="H792" i="9"/>
  <c r="G792" i="9"/>
  <c r="D792" i="9"/>
  <c r="C792" i="9"/>
  <c r="H791" i="9"/>
  <c r="G791" i="9"/>
  <c r="D791" i="9"/>
  <c r="C791" i="9"/>
  <c r="H790" i="9"/>
  <c r="G790" i="9"/>
  <c r="D790" i="9"/>
  <c r="C790" i="9"/>
  <c r="H789" i="9"/>
  <c r="G789" i="9"/>
  <c r="D789" i="9"/>
  <c r="C789" i="9"/>
  <c r="H788" i="9"/>
  <c r="G788" i="9"/>
  <c r="D788" i="9"/>
  <c r="C788" i="9"/>
  <c r="H787" i="9"/>
  <c r="G787" i="9"/>
  <c r="D787" i="9"/>
  <c r="C787" i="9"/>
  <c r="H786" i="9"/>
  <c r="G786" i="9"/>
  <c r="D786" i="9"/>
  <c r="C786" i="9"/>
  <c r="H785" i="9"/>
  <c r="G785" i="9"/>
  <c r="D785" i="9"/>
  <c r="C785" i="9"/>
  <c r="H784" i="9"/>
  <c r="G784" i="9"/>
  <c r="D784" i="9"/>
  <c r="C784" i="9"/>
  <c r="H783" i="9"/>
  <c r="G783" i="9"/>
  <c r="D783" i="9"/>
  <c r="C783" i="9"/>
  <c r="H782" i="9"/>
  <c r="G782" i="9"/>
  <c r="D782" i="9"/>
  <c r="C782" i="9"/>
  <c r="H781" i="9"/>
  <c r="G781" i="9"/>
  <c r="D781" i="9"/>
  <c r="C781" i="9"/>
  <c r="H780" i="9"/>
  <c r="G780" i="9"/>
  <c r="D780" i="9"/>
  <c r="C780" i="9"/>
  <c r="H779" i="9"/>
  <c r="G779" i="9"/>
  <c r="D779" i="9"/>
  <c r="C779" i="9"/>
  <c r="H778" i="9"/>
  <c r="G778" i="9"/>
  <c r="D778" i="9"/>
  <c r="C778" i="9"/>
  <c r="H777" i="9"/>
  <c r="G777" i="9"/>
  <c r="D777" i="9"/>
  <c r="C777" i="9"/>
  <c r="H776" i="9"/>
  <c r="G776" i="9"/>
  <c r="D776" i="9"/>
  <c r="C776" i="9"/>
  <c r="H775" i="9"/>
  <c r="G775" i="9"/>
  <c r="D775" i="9"/>
  <c r="C775" i="9"/>
  <c r="H774" i="9"/>
  <c r="G774" i="9"/>
  <c r="D774" i="9"/>
  <c r="C774" i="9"/>
  <c r="H773" i="9"/>
  <c r="G773" i="9"/>
  <c r="D773" i="9"/>
  <c r="C773" i="9"/>
  <c r="H772" i="9"/>
  <c r="G772" i="9"/>
  <c r="D772" i="9"/>
  <c r="C772" i="9"/>
  <c r="H771" i="9"/>
  <c r="G771" i="9"/>
  <c r="D771" i="9"/>
  <c r="C771" i="9"/>
  <c r="H770" i="9"/>
  <c r="G770" i="9"/>
  <c r="D770" i="9"/>
  <c r="C770" i="9"/>
  <c r="H769" i="9"/>
  <c r="G769" i="9"/>
  <c r="D769" i="9"/>
  <c r="C769" i="9"/>
  <c r="H768" i="9"/>
  <c r="G768" i="9"/>
  <c r="D768" i="9"/>
  <c r="C768" i="9"/>
  <c r="H767" i="9"/>
  <c r="G767" i="9"/>
  <c r="D767" i="9"/>
  <c r="C767" i="9"/>
  <c r="H766" i="9"/>
  <c r="G766" i="9"/>
  <c r="D766" i="9"/>
  <c r="C766" i="9"/>
  <c r="H765" i="9"/>
  <c r="G765" i="9"/>
  <c r="D765" i="9"/>
  <c r="C765" i="9"/>
  <c r="H764" i="9"/>
  <c r="G764" i="9"/>
  <c r="D764" i="9"/>
  <c r="C764" i="9"/>
  <c r="H763" i="9"/>
  <c r="G763" i="9"/>
  <c r="D763" i="9"/>
  <c r="C763" i="9"/>
  <c r="H762" i="9"/>
  <c r="G762" i="9"/>
  <c r="D762" i="9"/>
  <c r="C762" i="9"/>
  <c r="H761" i="9"/>
  <c r="G761" i="9"/>
  <c r="D761" i="9"/>
  <c r="C761" i="9"/>
  <c r="H760" i="9"/>
  <c r="G760" i="9"/>
  <c r="D760" i="9"/>
  <c r="C760" i="9"/>
  <c r="H759" i="9"/>
  <c r="G759" i="9"/>
  <c r="D759" i="9"/>
  <c r="C759" i="9"/>
  <c r="H758" i="9"/>
  <c r="G758" i="9"/>
  <c r="D758" i="9"/>
  <c r="C758" i="9"/>
  <c r="H757" i="9"/>
  <c r="G757" i="9"/>
  <c r="D757" i="9"/>
  <c r="C757" i="9"/>
  <c r="H756" i="9"/>
  <c r="G756" i="9"/>
  <c r="D756" i="9"/>
  <c r="C756" i="9"/>
  <c r="H755" i="9"/>
  <c r="G755" i="9"/>
  <c r="D755" i="9"/>
  <c r="C755" i="9"/>
  <c r="H754" i="9"/>
  <c r="G754" i="9"/>
  <c r="D754" i="9"/>
  <c r="C754" i="9"/>
  <c r="H753" i="9"/>
  <c r="G753" i="9"/>
  <c r="D753" i="9"/>
  <c r="C753" i="9"/>
  <c r="H752" i="9"/>
  <c r="G752" i="9"/>
  <c r="D752" i="9"/>
  <c r="C752" i="9"/>
  <c r="H751" i="9"/>
  <c r="G751" i="9"/>
  <c r="D751" i="9"/>
  <c r="C751" i="9"/>
  <c r="H750" i="9"/>
  <c r="G750" i="9"/>
  <c r="D750" i="9"/>
  <c r="C750" i="9"/>
  <c r="H749" i="9"/>
  <c r="G749" i="9"/>
  <c r="D749" i="9"/>
  <c r="C749" i="9"/>
  <c r="H748" i="9"/>
  <c r="G748" i="9"/>
  <c r="D748" i="9"/>
  <c r="C748" i="9"/>
  <c r="H747" i="9"/>
  <c r="G747" i="9"/>
  <c r="D747" i="9"/>
  <c r="C747" i="9"/>
  <c r="H746" i="9"/>
  <c r="G746" i="9"/>
  <c r="D746" i="9"/>
  <c r="C746" i="9"/>
  <c r="H745" i="9"/>
  <c r="G745" i="9"/>
  <c r="D745" i="9"/>
  <c r="C745" i="9"/>
  <c r="H744" i="9"/>
  <c r="G744" i="9"/>
  <c r="D744" i="9"/>
  <c r="C744" i="9"/>
  <c r="H743" i="9"/>
  <c r="G743" i="9"/>
  <c r="D743" i="9"/>
  <c r="C743" i="9"/>
  <c r="H742" i="9"/>
  <c r="G742" i="9"/>
  <c r="D742" i="9"/>
  <c r="C742" i="9"/>
  <c r="H741" i="9"/>
  <c r="G741" i="9"/>
  <c r="D741" i="9"/>
  <c r="C741" i="9"/>
  <c r="H740" i="9"/>
  <c r="G740" i="9"/>
  <c r="D740" i="9"/>
  <c r="C740" i="9"/>
  <c r="H739" i="9"/>
  <c r="G739" i="9"/>
  <c r="D739" i="9"/>
  <c r="C739" i="9"/>
  <c r="H738" i="9"/>
  <c r="G738" i="9"/>
  <c r="D738" i="9"/>
  <c r="C738" i="9"/>
  <c r="H737" i="9"/>
  <c r="G737" i="9"/>
  <c r="D737" i="9"/>
  <c r="C737" i="9"/>
  <c r="H736" i="9"/>
  <c r="G736" i="9"/>
  <c r="D736" i="9"/>
  <c r="C736" i="9"/>
  <c r="H735" i="9"/>
  <c r="G735" i="9"/>
  <c r="D735" i="9"/>
  <c r="C735" i="9"/>
  <c r="H734" i="9"/>
  <c r="G734" i="9"/>
  <c r="D734" i="9"/>
  <c r="C734" i="9"/>
  <c r="H733" i="9"/>
  <c r="G733" i="9"/>
  <c r="D733" i="9"/>
  <c r="C733" i="9"/>
  <c r="H732" i="9"/>
  <c r="G732" i="9"/>
  <c r="D732" i="9"/>
  <c r="C732" i="9"/>
  <c r="H731" i="9"/>
  <c r="G731" i="9"/>
  <c r="D731" i="9"/>
  <c r="C731" i="9"/>
  <c r="H730" i="9"/>
  <c r="G730" i="9"/>
  <c r="D730" i="9"/>
  <c r="C730" i="9"/>
  <c r="H729" i="9"/>
  <c r="G729" i="9"/>
  <c r="D729" i="9"/>
  <c r="C729" i="9"/>
  <c r="H728" i="9"/>
  <c r="G728" i="9"/>
  <c r="D728" i="9"/>
  <c r="C728" i="9"/>
  <c r="H727" i="9"/>
  <c r="G727" i="9"/>
  <c r="D727" i="9"/>
  <c r="C727" i="9"/>
  <c r="H726" i="9"/>
  <c r="G726" i="9"/>
  <c r="D726" i="9"/>
  <c r="C726" i="9"/>
  <c r="H725" i="9"/>
  <c r="G725" i="9"/>
  <c r="D725" i="9"/>
  <c r="C725" i="9"/>
  <c r="H724" i="9"/>
  <c r="G724" i="9"/>
  <c r="D724" i="9"/>
  <c r="C724" i="9"/>
  <c r="H723" i="9"/>
  <c r="G723" i="9"/>
  <c r="D723" i="9"/>
  <c r="C723" i="9"/>
  <c r="H722" i="9"/>
  <c r="G722" i="9"/>
  <c r="D722" i="9"/>
  <c r="C722" i="9"/>
  <c r="H721" i="9"/>
  <c r="G721" i="9"/>
  <c r="D721" i="9"/>
  <c r="C721" i="9"/>
  <c r="H720" i="9"/>
  <c r="G720" i="9"/>
  <c r="D720" i="9"/>
  <c r="C720" i="9"/>
  <c r="H719" i="9"/>
  <c r="G719" i="9"/>
  <c r="D719" i="9"/>
  <c r="C719" i="9"/>
  <c r="H718" i="9"/>
  <c r="G718" i="9"/>
  <c r="D718" i="9"/>
  <c r="C718" i="9"/>
  <c r="H717" i="9"/>
  <c r="G717" i="9"/>
  <c r="D717" i="9"/>
  <c r="C717" i="9"/>
  <c r="H716" i="9"/>
  <c r="G716" i="9"/>
  <c r="D716" i="9"/>
  <c r="C716" i="9"/>
  <c r="H715" i="9"/>
  <c r="G715" i="9"/>
  <c r="D715" i="9"/>
  <c r="C715" i="9"/>
  <c r="H714" i="9"/>
  <c r="G714" i="9"/>
  <c r="D714" i="9"/>
  <c r="C714" i="9"/>
  <c r="H713" i="9"/>
  <c r="G713" i="9"/>
  <c r="D713" i="9"/>
  <c r="C713" i="9"/>
  <c r="H712" i="9"/>
  <c r="G712" i="9"/>
  <c r="D712" i="9"/>
  <c r="C712" i="9"/>
  <c r="H711" i="9"/>
  <c r="G711" i="9"/>
  <c r="D711" i="9"/>
  <c r="C711" i="9"/>
  <c r="H710" i="9"/>
  <c r="G710" i="9"/>
  <c r="D710" i="9"/>
  <c r="C710" i="9"/>
  <c r="H709" i="9"/>
  <c r="G709" i="9"/>
  <c r="D709" i="9"/>
  <c r="C709" i="9"/>
  <c r="H708" i="9"/>
  <c r="G708" i="9"/>
  <c r="D708" i="9"/>
  <c r="C708" i="9"/>
  <c r="H707" i="9"/>
  <c r="G707" i="9"/>
  <c r="D707" i="9"/>
  <c r="C707" i="9"/>
  <c r="H706" i="9"/>
  <c r="G706" i="9"/>
  <c r="D706" i="9"/>
  <c r="C706" i="9"/>
  <c r="H705" i="9"/>
  <c r="G705" i="9"/>
  <c r="D705" i="9"/>
  <c r="C705" i="9"/>
  <c r="H704" i="9"/>
  <c r="G704" i="9"/>
  <c r="D704" i="9"/>
  <c r="C704" i="9"/>
  <c r="H703" i="9"/>
  <c r="G703" i="9"/>
  <c r="D703" i="9"/>
  <c r="C703" i="9"/>
  <c r="H702" i="9"/>
  <c r="G702" i="9"/>
  <c r="D702" i="9"/>
  <c r="C702" i="9"/>
  <c r="H701" i="9"/>
  <c r="G701" i="9"/>
  <c r="D701" i="9"/>
  <c r="C701" i="9"/>
  <c r="H700" i="9"/>
  <c r="G700" i="9"/>
  <c r="D700" i="9"/>
  <c r="C700" i="9"/>
  <c r="H699" i="9"/>
  <c r="G699" i="9"/>
  <c r="D699" i="9"/>
  <c r="C699" i="9"/>
  <c r="H698" i="9"/>
  <c r="G698" i="9"/>
  <c r="D698" i="9"/>
  <c r="C698" i="9"/>
  <c r="H697" i="9"/>
  <c r="G697" i="9"/>
  <c r="D697" i="9"/>
  <c r="C697" i="9"/>
  <c r="H696" i="9"/>
  <c r="G696" i="9"/>
  <c r="D696" i="9"/>
  <c r="C696" i="9"/>
  <c r="H695" i="9"/>
  <c r="G695" i="9"/>
  <c r="D695" i="9"/>
  <c r="C695" i="9"/>
  <c r="H694" i="9"/>
  <c r="G694" i="9"/>
  <c r="D694" i="9"/>
  <c r="C694" i="9"/>
  <c r="H693" i="9"/>
  <c r="G693" i="9"/>
  <c r="D693" i="9"/>
  <c r="C693" i="9"/>
  <c r="H692" i="9"/>
  <c r="G692" i="9"/>
  <c r="D692" i="9"/>
  <c r="C692" i="9"/>
  <c r="H691" i="9"/>
  <c r="G691" i="9"/>
  <c r="D691" i="9"/>
  <c r="C691" i="9"/>
  <c r="H690" i="9"/>
  <c r="G690" i="9"/>
  <c r="D690" i="9"/>
  <c r="C690" i="9"/>
  <c r="H689" i="9"/>
  <c r="G689" i="9"/>
  <c r="D689" i="9"/>
  <c r="C689" i="9"/>
  <c r="H688" i="9"/>
  <c r="G688" i="9"/>
  <c r="D688" i="9"/>
  <c r="C688" i="9"/>
  <c r="H687" i="9"/>
  <c r="G687" i="9"/>
  <c r="D687" i="9"/>
  <c r="C687" i="9"/>
  <c r="H686" i="9"/>
  <c r="G686" i="9"/>
  <c r="D686" i="9"/>
  <c r="C686" i="9"/>
  <c r="H685" i="9"/>
  <c r="G685" i="9"/>
  <c r="D685" i="9"/>
  <c r="C685" i="9"/>
  <c r="H684" i="9"/>
  <c r="G684" i="9"/>
  <c r="D684" i="9"/>
  <c r="C684" i="9"/>
  <c r="H683" i="9"/>
  <c r="G683" i="9"/>
  <c r="D683" i="9"/>
  <c r="C683" i="9"/>
  <c r="H682" i="9"/>
  <c r="G682" i="9"/>
  <c r="D682" i="9"/>
  <c r="C682" i="9"/>
  <c r="H681" i="9"/>
  <c r="G681" i="9"/>
  <c r="D681" i="9"/>
  <c r="C681" i="9"/>
  <c r="H680" i="9"/>
  <c r="G680" i="9"/>
  <c r="D680" i="9"/>
  <c r="C680" i="9"/>
  <c r="H679" i="9"/>
  <c r="G679" i="9"/>
  <c r="D679" i="9"/>
  <c r="C679" i="9"/>
  <c r="H678" i="9"/>
  <c r="G678" i="9"/>
  <c r="D678" i="9"/>
  <c r="C678" i="9"/>
  <c r="H677" i="9"/>
  <c r="G677" i="9"/>
  <c r="D677" i="9"/>
  <c r="C677" i="9"/>
  <c r="H676" i="9"/>
  <c r="G676" i="9"/>
  <c r="D676" i="9"/>
  <c r="C676" i="9"/>
  <c r="H675" i="9"/>
  <c r="G675" i="9"/>
  <c r="D675" i="9"/>
  <c r="C675" i="9"/>
  <c r="H674" i="9"/>
  <c r="G674" i="9"/>
  <c r="D674" i="9"/>
  <c r="C674" i="9"/>
  <c r="H673" i="9"/>
  <c r="G673" i="9"/>
  <c r="D673" i="9"/>
  <c r="C673" i="9"/>
  <c r="H672" i="9"/>
  <c r="G672" i="9"/>
  <c r="D672" i="9"/>
  <c r="C672" i="9"/>
  <c r="H671" i="9"/>
  <c r="G671" i="9"/>
  <c r="D671" i="9"/>
  <c r="C671" i="9"/>
  <c r="H670" i="9"/>
  <c r="G670" i="9"/>
  <c r="D670" i="9"/>
  <c r="C670" i="9"/>
  <c r="H669" i="9"/>
  <c r="G669" i="9"/>
  <c r="D669" i="9"/>
  <c r="C669" i="9"/>
  <c r="H668" i="9"/>
  <c r="G668" i="9"/>
  <c r="D668" i="9"/>
  <c r="C668" i="9"/>
  <c r="H667" i="9"/>
  <c r="G667" i="9"/>
  <c r="D667" i="9"/>
  <c r="C667" i="9"/>
  <c r="H666" i="9"/>
  <c r="G666" i="9"/>
  <c r="D666" i="9"/>
  <c r="C666" i="9"/>
  <c r="H665" i="9"/>
  <c r="G665" i="9"/>
  <c r="D665" i="9"/>
  <c r="C665" i="9"/>
  <c r="H664" i="9"/>
  <c r="G664" i="9"/>
  <c r="D664" i="9"/>
  <c r="C664" i="9"/>
  <c r="H663" i="9"/>
  <c r="G663" i="9"/>
  <c r="D663" i="9"/>
  <c r="C663" i="9"/>
  <c r="H662" i="9"/>
  <c r="G662" i="9"/>
  <c r="D662" i="9"/>
  <c r="C662" i="9"/>
  <c r="H661" i="9"/>
  <c r="G661" i="9"/>
  <c r="D661" i="9"/>
  <c r="C661" i="9"/>
  <c r="H660" i="9"/>
  <c r="G660" i="9"/>
  <c r="D660" i="9"/>
  <c r="C660" i="9"/>
  <c r="H659" i="9"/>
  <c r="G659" i="9"/>
  <c r="D659" i="9"/>
  <c r="C659" i="9"/>
  <c r="H658" i="9"/>
  <c r="G658" i="9"/>
  <c r="D658" i="9"/>
  <c r="C658" i="9"/>
  <c r="H657" i="9"/>
  <c r="G657" i="9"/>
  <c r="D657" i="9"/>
  <c r="C657" i="9"/>
  <c r="H656" i="9"/>
  <c r="G656" i="9"/>
  <c r="D656" i="9"/>
  <c r="C656" i="9"/>
  <c r="H655" i="9"/>
  <c r="G655" i="9"/>
  <c r="D655" i="9"/>
  <c r="C655" i="9"/>
  <c r="H654" i="9"/>
  <c r="G654" i="9"/>
  <c r="D654" i="9"/>
  <c r="C654" i="9"/>
  <c r="H653" i="9"/>
  <c r="G653" i="9"/>
  <c r="D653" i="9"/>
  <c r="C653" i="9"/>
  <c r="H652" i="9"/>
  <c r="G652" i="9"/>
  <c r="D652" i="9"/>
  <c r="C652" i="9"/>
  <c r="H651" i="9"/>
  <c r="G651" i="9"/>
  <c r="D651" i="9"/>
  <c r="C651" i="9"/>
  <c r="H650" i="9"/>
  <c r="G650" i="9"/>
  <c r="D650" i="9"/>
  <c r="C650" i="9"/>
  <c r="H649" i="9"/>
  <c r="G649" i="9"/>
  <c r="D649" i="9"/>
  <c r="C649" i="9"/>
  <c r="H648" i="9"/>
  <c r="G648" i="9"/>
  <c r="D648" i="9"/>
  <c r="C648" i="9"/>
  <c r="H647" i="9"/>
  <c r="G647" i="9"/>
  <c r="D647" i="9"/>
  <c r="C647" i="9"/>
  <c r="H646" i="9"/>
  <c r="G646" i="9"/>
  <c r="D646" i="9"/>
  <c r="C646" i="9"/>
  <c r="H645" i="9"/>
  <c r="G645" i="9"/>
  <c r="D645" i="9"/>
  <c r="C645" i="9"/>
  <c r="H644" i="9"/>
  <c r="G644" i="9"/>
  <c r="D644" i="9"/>
  <c r="C644" i="9"/>
  <c r="H643" i="9"/>
  <c r="G643" i="9"/>
  <c r="D643" i="9"/>
  <c r="C643" i="9"/>
  <c r="H642" i="9"/>
  <c r="G642" i="9"/>
  <c r="D642" i="9"/>
  <c r="C642" i="9"/>
  <c r="H641" i="9"/>
  <c r="G641" i="9"/>
  <c r="D641" i="9"/>
  <c r="C641" i="9"/>
  <c r="H640" i="9"/>
  <c r="G640" i="9"/>
  <c r="D640" i="9"/>
  <c r="C640" i="9"/>
  <c r="H639" i="9"/>
  <c r="G639" i="9"/>
  <c r="D639" i="9"/>
  <c r="C639" i="9"/>
  <c r="H638" i="9"/>
  <c r="G638" i="9"/>
  <c r="D638" i="9"/>
  <c r="C638" i="9"/>
  <c r="H637" i="9"/>
  <c r="G637" i="9"/>
  <c r="D637" i="9"/>
  <c r="C637" i="9"/>
  <c r="H636" i="9"/>
  <c r="G636" i="9"/>
  <c r="D636" i="9"/>
  <c r="C636" i="9"/>
  <c r="H635" i="9"/>
  <c r="G635" i="9"/>
  <c r="D635" i="9"/>
  <c r="C635" i="9"/>
  <c r="H634" i="9"/>
  <c r="G634" i="9"/>
  <c r="D634" i="9"/>
  <c r="C634" i="9"/>
  <c r="H633" i="9"/>
  <c r="G633" i="9"/>
  <c r="D633" i="9"/>
  <c r="C633" i="9"/>
  <c r="H632" i="9"/>
  <c r="G632" i="9"/>
  <c r="D632" i="9"/>
  <c r="C632" i="9"/>
  <c r="H631" i="9"/>
  <c r="G631" i="9"/>
  <c r="D631" i="9"/>
  <c r="C631" i="9"/>
  <c r="H630" i="9"/>
  <c r="G630" i="9"/>
  <c r="D630" i="9"/>
  <c r="C630" i="9"/>
  <c r="H629" i="9"/>
  <c r="G629" i="9"/>
  <c r="D629" i="9"/>
  <c r="C629" i="9"/>
  <c r="H628" i="9"/>
  <c r="G628" i="9"/>
  <c r="D628" i="9"/>
  <c r="C628" i="9"/>
  <c r="H627" i="9"/>
  <c r="G627" i="9"/>
  <c r="D627" i="9"/>
  <c r="C627" i="9"/>
  <c r="H626" i="9"/>
  <c r="G626" i="9"/>
  <c r="D626" i="9"/>
  <c r="C626" i="9"/>
  <c r="H625" i="9"/>
  <c r="G625" i="9"/>
  <c r="D625" i="9"/>
  <c r="C625" i="9"/>
  <c r="H624" i="9"/>
  <c r="G624" i="9"/>
  <c r="D624" i="9"/>
  <c r="C624" i="9"/>
  <c r="H623" i="9"/>
  <c r="G623" i="9"/>
  <c r="D623" i="9"/>
  <c r="C623" i="9"/>
  <c r="H622" i="9"/>
  <c r="G622" i="9"/>
  <c r="D622" i="9"/>
  <c r="C622" i="9"/>
  <c r="H621" i="9"/>
  <c r="G621" i="9"/>
  <c r="D621" i="9"/>
  <c r="C621" i="9"/>
  <c r="H620" i="9"/>
  <c r="G620" i="9"/>
  <c r="D620" i="9"/>
  <c r="C620" i="9"/>
  <c r="H619" i="9"/>
  <c r="G619" i="9"/>
  <c r="D619" i="9"/>
  <c r="C619" i="9"/>
  <c r="H618" i="9"/>
  <c r="G618" i="9"/>
  <c r="D618" i="9"/>
  <c r="C618" i="9"/>
  <c r="H617" i="9"/>
  <c r="G617" i="9"/>
  <c r="D617" i="9"/>
  <c r="C617" i="9"/>
  <c r="H616" i="9"/>
  <c r="G616" i="9"/>
  <c r="D616" i="9"/>
  <c r="C616" i="9"/>
  <c r="H615" i="9"/>
  <c r="G615" i="9"/>
  <c r="D615" i="9"/>
  <c r="C615" i="9"/>
  <c r="H614" i="9"/>
  <c r="G614" i="9"/>
  <c r="D614" i="9"/>
  <c r="C614" i="9"/>
  <c r="H613" i="9"/>
  <c r="G613" i="9"/>
  <c r="D613" i="9"/>
  <c r="C613" i="9"/>
  <c r="H612" i="9"/>
  <c r="G612" i="9"/>
  <c r="D612" i="9"/>
  <c r="C612" i="9"/>
  <c r="H611" i="9"/>
  <c r="G611" i="9"/>
  <c r="D611" i="9"/>
  <c r="C611" i="9"/>
  <c r="H610" i="9"/>
  <c r="G610" i="9"/>
  <c r="D610" i="9"/>
  <c r="C610" i="9"/>
  <c r="H609" i="9"/>
  <c r="G609" i="9"/>
  <c r="D609" i="9"/>
  <c r="C609" i="9"/>
  <c r="H608" i="9"/>
  <c r="G608" i="9"/>
  <c r="D608" i="9"/>
  <c r="C608" i="9"/>
  <c r="H607" i="9"/>
  <c r="G607" i="9"/>
  <c r="D607" i="9"/>
  <c r="C607" i="9"/>
  <c r="H606" i="9"/>
  <c r="G606" i="9"/>
  <c r="D606" i="9"/>
  <c r="C606" i="9"/>
  <c r="H605" i="9"/>
  <c r="G605" i="9"/>
  <c r="D605" i="9"/>
  <c r="C605" i="9"/>
  <c r="H604" i="9"/>
  <c r="G604" i="9"/>
  <c r="D604" i="9"/>
  <c r="C604" i="9"/>
  <c r="H603" i="9"/>
  <c r="G603" i="9"/>
  <c r="D603" i="9"/>
  <c r="C603" i="9"/>
  <c r="H602" i="9"/>
  <c r="G602" i="9"/>
  <c r="D602" i="9"/>
  <c r="C602" i="9"/>
  <c r="H601" i="9"/>
  <c r="G601" i="9"/>
  <c r="D601" i="9"/>
  <c r="C601" i="9"/>
  <c r="H600" i="9"/>
  <c r="G600" i="9"/>
  <c r="D600" i="9"/>
  <c r="C600" i="9"/>
  <c r="H599" i="9"/>
  <c r="G599" i="9"/>
  <c r="D599" i="9"/>
  <c r="C599" i="9"/>
  <c r="H598" i="9"/>
  <c r="G598" i="9"/>
  <c r="D598" i="9"/>
  <c r="C598" i="9"/>
  <c r="H597" i="9"/>
  <c r="G597" i="9"/>
  <c r="D597" i="9"/>
  <c r="C597" i="9"/>
  <c r="H596" i="9"/>
  <c r="G596" i="9"/>
  <c r="D596" i="9"/>
  <c r="C596" i="9"/>
  <c r="H595" i="9"/>
  <c r="G595" i="9"/>
  <c r="D595" i="9"/>
  <c r="C595" i="9"/>
  <c r="H594" i="9"/>
  <c r="G594" i="9"/>
  <c r="D594" i="9"/>
  <c r="C594" i="9"/>
  <c r="H593" i="9"/>
  <c r="G593" i="9"/>
  <c r="D593" i="9"/>
  <c r="C593" i="9"/>
  <c r="H592" i="9"/>
  <c r="G592" i="9"/>
  <c r="D592" i="9"/>
  <c r="C592" i="9"/>
  <c r="H591" i="9"/>
  <c r="G591" i="9"/>
  <c r="D591" i="9"/>
  <c r="C591" i="9"/>
  <c r="H590" i="9"/>
  <c r="G590" i="9"/>
  <c r="D590" i="9"/>
  <c r="C590" i="9"/>
  <c r="H589" i="9"/>
  <c r="G589" i="9"/>
  <c r="D589" i="9"/>
  <c r="C589" i="9"/>
  <c r="H588" i="9"/>
  <c r="G588" i="9"/>
  <c r="D588" i="9"/>
  <c r="C588" i="9"/>
  <c r="H587" i="9"/>
  <c r="G587" i="9"/>
  <c r="D587" i="9"/>
  <c r="C587" i="9"/>
  <c r="H586" i="9"/>
  <c r="G586" i="9"/>
  <c r="D586" i="9"/>
  <c r="C586" i="9"/>
  <c r="H585" i="9"/>
  <c r="G585" i="9"/>
  <c r="D585" i="9"/>
  <c r="C585" i="9"/>
  <c r="H584" i="9"/>
  <c r="G584" i="9"/>
  <c r="D584" i="9"/>
  <c r="C584" i="9"/>
  <c r="H583" i="9"/>
  <c r="G583" i="9"/>
  <c r="D583" i="9"/>
  <c r="C583" i="9"/>
  <c r="H582" i="9"/>
  <c r="G582" i="9"/>
  <c r="D582" i="9"/>
  <c r="C582" i="9"/>
  <c r="H581" i="9"/>
  <c r="G581" i="9"/>
  <c r="D581" i="9"/>
  <c r="C581" i="9"/>
  <c r="H580" i="9"/>
  <c r="G580" i="9"/>
  <c r="D580" i="9"/>
  <c r="C580" i="9"/>
  <c r="H579" i="9"/>
  <c r="G579" i="9"/>
  <c r="D579" i="9"/>
  <c r="C579" i="9"/>
  <c r="H578" i="9"/>
  <c r="G578" i="9"/>
  <c r="D578" i="9"/>
  <c r="C578" i="9"/>
  <c r="H577" i="9"/>
  <c r="G577" i="9"/>
  <c r="D577" i="9"/>
  <c r="C577" i="9"/>
  <c r="H576" i="9"/>
  <c r="G576" i="9"/>
  <c r="D576" i="9"/>
  <c r="C576" i="9"/>
  <c r="H575" i="9"/>
  <c r="G575" i="9"/>
  <c r="D575" i="9"/>
  <c r="C575" i="9"/>
  <c r="H574" i="9"/>
  <c r="G574" i="9"/>
  <c r="D574" i="9"/>
  <c r="C574" i="9"/>
  <c r="H573" i="9"/>
  <c r="G573" i="9"/>
  <c r="D573" i="9"/>
  <c r="C573" i="9"/>
  <c r="H572" i="9"/>
  <c r="G572" i="9"/>
  <c r="D572" i="9"/>
  <c r="C572" i="9"/>
  <c r="H571" i="9"/>
  <c r="G571" i="9"/>
  <c r="D571" i="9"/>
  <c r="C571" i="9"/>
  <c r="H570" i="9"/>
  <c r="G570" i="9"/>
  <c r="D570" i="9"/>
  <c r="C570" i="9"/>
  <c r="H569" i="9"/>
  <c r="G569" i="9"/>
  <c r="D569" i="9"/>
  <c r="C569" i="9"/>
  <c r="H568" i="9"/>
  <c r="G568" i="9"/>
  <c r="D568" i="9"/>
  <c r="C568" i="9"/>
  <c r="H567" i="9"/>
  <c r="G567" i="9"/>
  <c r="D567" i="9"/>
  <c r="C567" i="9"/>
  <c r="H566" i="9"/>
  <c r="G566" i="9"/>
  <c r="D566" i="9"/>
  <c r="C566" i="9"/>
  <c r="H565" i="9"/>
  <c r="G565" i="9"/>
  <c r="D565" i="9"/>
  <c r="C565" i="9"/>
  <c r="H564" i="9"/>
  <c r="G564" i="9"/>
  <c r="D564" i="9"/>
  <c r="C564" i="9"/>
  <c r="H563" i="9"/>
  <c r="G563" i="9"/>
  <c r="D563" i="9"/>
  <c r="C563" i="9"/>
  <c r="H562" i="9"/>
  <c r="G562" i="9"/>
  <c r="D562" i="9"/>
  <c r="C562" i="9"/>
  <c r="H561" i="9"/>
  <c r="G561" i="9"/>
  <c r="D561" i="9"/>
  <c r="C561" i="9"/>
  <c r="H560" i="9"/>
  <c r="G560" i="9"/>
  <c r="D560" i="9"/>
  <c r="C560" i="9"/>
  <c r="H559" i="9"/>
  <c r="G559" i="9"/>
  <c r="D559" i="9"/>
  <c r="C559" i="9"/>
  <c r="H558" i="9"/>
  <c r="G558" i="9"/>
  <c r="D558" i="9"/>
  <c r="C558" i="9"/>
  <c r="H557" i="9"/>
  <c r="G557" i="9"/>
  <c r="D557" i="9"/>
  <c r="C557" i="9"/>
  <c r="H556" i="9"/>
  <c r="G556" i="9"/>
  <c r="D556" i="9"/>
  <c r="C556" i="9"/>
  <c r="H555" i="9"/>
  <c r="G555" i="9"/>
  <c r="D555" i="9"/>
  <c r="C555" i="9"/>
  <c r="H554" i="9"/>
  <c r="G554" i="9"/>
  <c r="D554" i="9"/>
  <c r="C554" i="9"/>
  <c r="H553" i="9"/>
  <c r="G553" i="9"/>
  <c r="D553" i="9"/>
  <c r="C553" i="9"/>
  <c r="H552" i="9"/>
  <c r="G552" i="9"/>
  <c r="D552" i="9"/>
  <c r="C552" i="9"/>
  <c r="H551" i="9"/>
  <c r="G551" i="9"/>
  <c r="D551" i="9"/>
  <c r="C551" i="9"/>
  <c r="H550" i="9"/>
  <c r="G550" i="9"/>
  <c r="D550" i="9"/>
  <c r="C550" i="9"/>
  <c r="H549" i="9"/>
  <c r="G549" i="9"/>
  <c r="D549" i="9"/>
  <c r="C549" i="9"/>
  <c r="H548" i="9"/>
  <c r="G548" i="9"/>
  <c r="D548" i="9"/>
  <c r="C548" i="9"/>
  <c r="H547" i="9"/>
  <c r="G547" i="9"/>
  <c r="D547" i="9"/>
  <c r="C547" i="9"/>
  <c r="H546" i="9"/>
  <c r="G546" i="9"/>
  <c r="D546" i="9"/>
  <c r="C546" i="9"/>
  <c r="H545" i="9"/>
  <c r="G545" i="9"/>
  <c r="D545" i="9"/>
  <c r="C545" i="9"/>
  <c r="H544" i="9"/>
  <c r="G544" i="9"/>
  <c r="D544" i="9"/>
  <c r="C544" i="9"/>
  <c r="H543" i="9"/>
  <c r="G543" i="9"/>
  <c r="D543" i="9"/>
  <c r="C543" i="9"/>
  <c r="H542" i="9"/>
  <c r="G542" i="9"/>
  <c r="D542" i="9"/>
  <c r="C542" i="9"/>
  <c r="H541" i="9"/>
  <c r="G541" i="9"/>
  <c r="D541" i="9"/>
  <c r="C541" i="9"/>
  <c r="H540" i="9"/>
  <c r="G540" i="9"/>
  <c r="D540" i="9"/>
  <c r="C540" i="9"/>
  <c r="H539" i="9"/>
  <c r="G539" i="9"/>
  <c r="D539" i="9"/>
  <c r="C539" i="9"/>
  <c r="H538" i="9"/>
  <c r="G538" i="9"/>
  <c r="D538" i="9"/>
  <c r="C538" i="9"/>
  <c r="H537" i="9"/>
  <c r="G537" i="9"/>
  <c r="D537" i="9"/>
  <c r="C537" i="9"/>
  <c r="H536" i="9"/>
  <c r="G536" i="9"/>
  <c r="D536" i="9"/>
  <c r="C536" i="9"/>
  <c r="H535" i="9"/>
  <c r="G535" i="9"/>
  <c r="D535" i="9"/>
  <c r="C535" i="9"/>
  <c r="H534" i="9"/>
  <c r="G534" i="9"/>
  <c r="D534" i="9"/>
  <c r="C534" i="9"/>
  <c r="H533" i="9"/>
  <c r="G533" i="9"/>
  <c r="D533" i="9"/>
  <c r="C533" i="9"/>
  <c r="H532" i="9"/>
  <c r="G532" i="9"/>
  <c r="D532" i="9"/>
  <c r="C532" i="9"/>
  <c r="H531" i="9"/>
  <c r="G531" i="9"/>
  <c r="D531" i="9"/>
  <c r="C531" i="9"/>
  <c r="H530" i="9"/>
  <c r="G530" i="9"/>
  <c r="D530" i="9"/>
  <c r="C530" i="9"/>
  <c r="H529" i="9"/>
  <c r="G529" i="9"/>
  <c r="D529" i="9"/>
  <c r="C529" i="9"/>
  <c r="H528" i="9"/>
  <c r="G528" i="9"/>
  <c r="D528" i="9"/>
  <c r="C528" i="9"/>
  <c r="H527" i="9"/>
  <c r="G527" i="9"/>
  <c r="D527" i="9"/>
  <c r="C527" i="9"/>
  <c r="H526" i="9"/>
  <c r="G526" i="9"/>
  <c r="D526" i="9"/>
  <c r="C526" i="9"/>
  <c r="H525" i="9"/>
  <c r="G525" i="9"/>
  <c r="D525" i="9"/>
  <c r="C525" i="9"/>
  <c r="H524" i="9"/>
  <c r="G524" i="9"/>
  <c r="D524" i="9"/>
  <c r="C524" i="9"/>
  <c r="H523" i="9"/>
  <c r="G523" i="9"/>
  <c r="D523" i="9"/>
  <c r="C523" i="9"/>
  <c r="H522" i="9"/>
  <c r="G522" i="9"/>
  <c r="D522" i="9"/>
  <c r="C522" i="9"/>
  <c r="H521" i="9"/>
  <c r="G521" i="9"/>
  <c r="D521" i="9"/>
  <c r="C521" i="9"/>
  <c r="H520" i="9"/>
  <c r="G520" i="9"/>
  <c r="D520" i="9"/>
  <c r="C520" i="9"/>
  <c r="H519" i="9"/>
  <c r="G519" i="9"/>
  <c r="D519" i="9"/>
  <c r="C519" i="9"/>
  <c r="H518" i="9"/>
  <c r="G518" i="9"/>
  <c r="D518" i="9"/>
  <c r="C518" i="9"/>
  <c r="H517" i="9"/>
  <c r="G517" i="9"/>
  <c r="D517" i="9"/>
  <c r="C517" i="9"/>
  <c r="H516" i="9"/>
  <c r="G516" i="9"/>
  <c r="D516" i="9"/>
  <c r="C516" i="9"/>
  <c r="H515" i="9"/>
  <c r="G515" i="9"/>
  <c r="D515" i="9"/>
  <c r="C515" i="9"/>
  <c r="H514" i="9"/>
  <c r="G514" i="9"/>
  <c r="D514" i="9"/>
  <c r="C514" i="9"/>
  <c r="H513" i="9"/>
  <c r="G513" i="9"/>
  <c r="D513" i="9"/>
  <c r="C513" i="9"/>
  <c r="H512" i="9"/>
  <c r="G512" i="9"/>
  <c r="D512" i="9"/>
  <c r="C512" i="9"/>
  <c r="H511" i="9"/>
  <c r="G511" i="9"/>
  <c r="D511" i="9"/>
  <c r="C511" i="9"/>
  <c r="H510" i="9"/>
  <c r="G510" i="9"/>
  <c r="D510" i="9"/>
  <c r="C510" i="9"/>
  <c r="H509" i="9"/>
  <c r="G509" i="9"/>
  <c r="D509" i="9"/>
  <c r="C509" i="9"/>
  <c r="H508" i="9"/>
  <c r="G508" i="9"/>
  <c r="D508" i="9"/>
  <c r="C508" i="9"/>
  <c r="H507" i="9"/>
  <c r="G507" i="9"/>
  <c r="D507" i="9"/>
  <c r="C507" i="9"/>
  <c r="H506" i="9"/>
  <c r="G506" i="9"/>
  <c r="D506" i="9"/>
  <c r="C506" i="9"/>
  <c r="H505" i="9"/>
  <c r="G505" i="9"/>
  <c r="D505" i="9"/>
  <c r="C505" i="9"/>
  <c r="H504" i="9"/>
  <c r="G504" i="9"/>
  <c r="D504" i="9"/>
  <c r="C504" i="9"/>
  <c r="H503" i="9"/>
  <c r="G503" i="9"/>
  <c r="D503" i="9"/>
  <c r="C503" i="9"/>
  <c r="H502" i="9"/>
  <c r="G502" i="9"/>
  <c r="D502" i="9"/>
  <c r="C502" i="9"/>
  <c r="H501" i="9"/>
  <c r="G501" i="9"/>
  <c r="D501" i="9"/>
  <c r="C501" i="9"/>
  <c r="H500" i="9"/>
  <c r="G500" i="9"/>
  <c r="D500" i="9"/>
  <c r="C500" i="9"/>
  <c r="H499" i="9"/>
  <c r="G499" i="9"/>
  <c r="D499" i="9"/>
  <c r="C499" i="9"/>
  <c r="H498" i="9"/>
  <c r="G498" i="9"/>
  <c r="D498" i="9"/>
  <c r="C498" i="9"/>
  <c r="H497" i="9"/>
  <c r="G497" i="9"/>
  <c r="D497" i="9"/>
  <c r="C497" i="9"/>
  <c r="H496" i="9"/>
  <c r="G496" i="9"/>
  <c r="D496" i="9"/>
  <c r="C496" i="9"/>
  <c r="H495" i="9"/>
  <c r="G495" i="9"/>
  <c r="D495" i="9"/>
  <c r="C495" i="9"/>
  <c r="H494" i="9"/>
  <c r="G494" i="9"/>
  <c r="D494" i="9"/>
  <c r="C494" i="9"/>
  <c r="H493" i="9"/>
  <c r="G493" i="9"/>
  <c r="D493" i="9"/>
  <c r="C493" i="9"/>
  <c r="H492" i="9"/>
  <c r="G492" i="9"/>
  <c r="D492" i="9"/>
  <c r="C492" i="9"/>
  <c r="H491" i="9"/>
  <c r="G491" i="9"/>
  <c r="D491" i="9"/>
  <c r="C491" i="9"/>
  <c r="H490" i="9"/>
  <c r="G490" i="9"/>
  <c r="D490" i="9"/>
  <c r="C490" i="9"/>
  <c r="H489" i="9"/>
  <c r="G489" i="9"/>
  <c r="D489" i="9"/>
  <c r="C489" i="9"/>
  <c r="H488" i="9"/>
  <c r="G488" i="9"/>
  <c r="D488" i="9"/>
  <c r="C488" i="9"/>
  <c r="H487" i="9"/>
  <c r="G487" i="9"/>
  <c r="D487" i="9"/>
  <c r="C487" i="9"/>
  <c r="H486" i="9"/>
  <c r="G486" i="9"/>
  <c r="D486" i="9"/>
  <c r="C486" i="9"/>
  <c r="H485" i="9"/>
  <c r="G485" i="9"/>
  <c r="D485" i="9"/>
  <c r="C485" i="9"/>
  <c r="H484" i="9"/>
  <c r="G484" i="9"/>
  <c r="D484" i="9"/>
  <c r="C484" i="9"/>
  <c r="H483" i="9"/>
  <c r="G483" i="9"/>
  <c r="D483" i="9"/>
  <c r="C483" i="9"/>
  <c r="H482" i="9"/>
  <c r="G482" i="9"/>
  <c r="D482" i="9"/>
  <c r="C482" i="9"/>
  <c r="H481" i="9"/>
  <c r="G481" i="9"/>
  <c r="D481" i="9"/>
  <c r="C481" i="9"/>
  <c r="H480" i="9"/>
  <c r="G480" i="9"/>
  <c r="D480" i="9"/>
  <c r="C480" i="9"/>
  <c r="H479" i="9"/>
  <c r="G479" i="9"/>
  <c r="D479" i="9"/>
  <c r="C479" i="9"/>
  <c r="H478" i="9"/>
  <c r="G478" i="9"/>
  <c r="D478" i="9"/>
  <c r="C478" i="9"/>
  <c r="H477" i="9"/>
  <c r="G477" i="9"/>
  <c r="D477" i="9"/>
  <c r="C477" i="9"/>
  <c r="H476" i="9"/>
  <c r="G476" i="9"/>
  <c r="D476" i="9"/>
  <c r="C476" i="9"/>
  <c r="H475" i="9"/>
  <c r="G475" i="9"/>
  <c r="D475" i="9"/>
  <c r="C475" i="9"/>
  <c r="H474" i="9"/>
  <c r="G474" i="9"/>
  <c r="D474" i="9"/>
  <c r="C474" i="9"/>
  <c r="H473" i="9"/>
  <c r="G473" i="9"/>
  <c r="D473" i="9"/>
  <c r="C473" i="9"/>
  <c r="H472" i="9"/>
  <c r="G472" i="9"/>
  <c r="D472" i="9"/>
  <c r="C472" i="9"/>
  <c r="H471" i="9"/>
  <c r="G471" i="9"/>
  <c r="D471" i="9"/>
  <c r="C471" i="9"/>
  <c r="H470" i="9"/>
  <c r="G470" i="9"/>
  <c r="D470" i="9"/>
  <c r="C470" i="9"/>
  <c r="H469" i="9"/>
  <c r="G469" i="9"/>
  <c r="D469" i="9"/>
  <c r="C469" i="9"/>
  <c r="H468" i="9"/>
  <c r="G468" i="9"/>
  <c r="D468" i="9"/>
  <c r="C468" i="9"/>
  <c r="H467" i="9"/>
  <c r="G467" i="9"/>
  <c r="D467" i="9"/>
  <c r="C467" i="9"/>
  <c r="H466" i="9"/>
  <c r="G466" i="9"/>
  <c r="D466" i="9"/>
  <c r="C466" i="9"/>
  <c r="H465" i="9"/>
  <c r="G465" i="9"/>
  <c r="D465" i="9"/>
  <c r="C465" i="9"/>
  <c r="H464" i="9"/>
  <c r="G464" i="9"/>
  <c r="D464" i="9"/>
  <c r="C464" i="9"/>
  <c r="H463" i="9"/>
  <c r="G463" i="9"/>
  <c r="D463" i="9"/>
  <c r="C463" i="9"/>
  <c r="H462" i="9"/>
  <c r="G462" i="9"/>
  <c r="D462" i="9"/>
  <c r="C462" i="9"/>
  <c r="H461" i="9"/>
  <c r="G461" i="9"/>
  <c r="D461" i="9"/>
  <c r="C461" i="9"/>
  <c r="H460" i="9"/>
  <c r="G460" i="9"/>
  <c r="D460" i="9"/>
  <c r="C460" i="9"/>
  <c r="H459" i="9"/>
  <c r="G459" i="9"/>
  <c r="D459" i="9"/>
  <c r="C459" i="9"/>
  <c r="H458" i="9"/>
  <c r="G458" i="9"/>
  <c r="D458" i="9"/>
  <c r="C458" i="9"/>
  <c r="H457" i="9"/>
  <c r="G457" i="9"/>
  <c r="D457" i="9"/>
  <c r="C457" i="9"/>
  <c r="H456" i="9"/>
  <c r="G456" i="9"/>
  <c r="D456" i="9"/>
  <c r="C456" i="9"/>
  <c r="H455" i="9"/>
  <c r="G455" i="9"/>
  <c r="D455" i="9"/>
  <c r="C455" i="9"/>
  <c r="H454" i="9"/>
  <c r="G454" i="9"/>
  <c r="D454" i="9"/>
  <c r="C454" i="9"/>
  <c r="H453" i="9"/>
  <c r="G453" i="9"/>
  <c r="D453" i="9"/>
  <c r="C453" i="9"/>
  <c r="H452" i="9"/>
  <c r="G452" i="9"/>
  <c r="D452" i="9"/>
  <c r="C452" i="9"/>
  <c r="H451" i="9"/>
  <c r="G451" i="9"/>
  <c r="D451" i="9"/>
  <c r="C451" i="9"/>
  <c r="H450" i="9"/>
  <c r="G450" i="9"/>
  <c r="D450" i="9"/>
  <c r="C450" i="9"/>
  <c r="H449" i="9"/>
  <c r="G449" i="9"/>
  <c r="D449" i="9"/>
  <c r="C449" i="9"/>
  <c r="H448" i="9"/>
  <c r="G448" i="9"/>
  <c r="D448" i="9"/>
  <c r="C448" i="9"/>
  <c r="H447" i="9"/>
  <c r="G447" i="9"/>
  <c r="D447" i="9"/>
  <c r="C447" i="9"/>
  <c r="H446" i="9"/>
  <c r="G446" i="9"/>
  <c r="D446" i="9"/>
  <c r="C446" i="9"/>
  <c r="H445" i="9"/>
  <c r="G445" i="9"/>
  <c r="D445" i="9"/>
  <c r="C445" i="9"/>
  <c r="H444" i="9"/>
  <c r="G444" i="9"/>
  <c r="D444" i="9"/>
  <c r="C444" i="9"/>
  <c r="H443" i="9"/>
  <c r="G443" i="9"/>
  <c r="D443" i="9"/>
  <c r="C443" i="9"/>
  <c r="H442" i="9"/>
  <c r="G442" i="9"/>
  <c r="D442" i="9"/>
  <c r="C442" i="9"/>
  <c r="H441" i="9"/>
  <c r="G441" i="9"/>
  <c r="D441" i="9"/>
  <c r="C441" i="9"/>
  <c r="H440" i="9"/>
  <c r="G440" i="9"/>
  <c r="D440" i="9"/>
  <c r="C440" i="9"/>
  <c r="H439" i="9"/>
  <c r="G439" i="9"/>
  <c r="D439" i="9"/>
  <c r="C439" i="9"/>
  <c r="H438" i="9"/>
  <c r="G438" i="9"/>
  <c r="D438" i="9"/>
  <c r="C438" i="9"/>
  <c r="H437" i="9"/>
  <c r="G437" i="9"/>
  <c r="D437" i="9"/>
  <c r="C437" i="9"/>
  <c r="H436" i="9"/>
  <c r="G436" i="9"/>
  <c r="D436" i="9"/>
  <c r="C436" i="9"/>
  <c r="H435" i="9"/>
  <c r="G435" i="9"/>
  <c r="D435" i="9"/>
  <c r="C435" i="9"/>
  <c r="H434" i="9"/>
  <c r="G434" i="9"/>
  <c r="D434" i="9"/>
  <c r="C434" i="9"/>
  <c r="H433" i="9"/>
  <c r="G433" i="9"/>
  <c r="D433" i="9"/>
  <c r="C433" i="9"/>
  <c r="H432" i="9"/>
  <c r="G432" i="9"/>
  <c r="D432" i="9"/>
  <c r="C432" i="9"/>
  <c r="H431" i="9"/>
  <c r="G431" i="9"/>
  <c r="D431" i="9"/>
  <c r="C431" i="9"/>
  <c r="H430" i="9"/>
  <c r="G430" i="9"/>
  <c r="D430" i="9"/>
  <c r="C430" i="9"/>
  <c r="H429" i="9"/>
  <c r="G429" i="9"/>
  <c r="D429" i="9"/>
  <c r="C429" i="9"/>
  <c r="H428" i="9"/>
  <c r="G428" i="9"/>
  <c r="D428" i="9"/>
  <c r="C428" i="9"/>
  <c r="H427" i="9"/>
  <c r="G427" i="9"/>
  <c r="D427" i="9"/>
  <c r="C427" i="9"/>
  <c r="H426" i="9"/>
  <c r="G426" i="9"/>
  <c r="D426" i="9"/>
  <c r="C426" i="9"/>
  <c r="H425" i="9"/>
  <c r="G425" i="9"/>
  <c r="D425" i="9"/>
  <c r="C425" i="9"/>
  <c r="H424" i="9"/>
  <c r="G424" i="9"/>
  <c r="D424" i="9"/>
  <c r="C424" i="9"/>
  <c r="H423" i="9"/>
  <c r="G423" i="9"/>
  <c r="D423" i="9"/>
  <c r="C423" i="9"/>
  <c r="H422" i="9"/>
  <c r="G422" i="9"/>
  <c r="D422" i="9"/>
  <c r="C422" i="9"/>
  <c r="H421" i="9"/>
  <c r="G421" i="9"/>
  <c r="D421" i="9"/>
  <c r="C421" i="9"/>
  <c r="H420" i="9"/>
  <c r="G420" i="9"/>
  <c r="D420" i="9"/>
  <c r="C420" i="9"/>
  <c r="H419" i="9"/>
  <c r="G419" i="9"/>
  <c r="D419" i="9"/>
  <c r="C419" i="9"/>
  <c r="H418" i="9"/>
  <c r="G418" i="9"/>
  <c r="D418" i="9"/>
  <c r="C418" i="9"/>
  <c r="H417" i="9"/>
  <c r="G417" i="9"/>
  <c r="D417" i="9"/>
  <c r="C417" i="9"/>
  <c r="H416" i="9"/>
  <c r="G416" i="9"/>
  <c r="D416" i="9"/>
  <c r="C416" i="9"/>
  <c r="H415" i="9"/>
  <c r="G415" i="9"/>
  <c r="D415" i="9"/>
  <c r="C415" i="9"/>
  <c r="H414" i="9"/>
  <c r="G414" i="9"/>
  <c r="D414" i="9"/>
  <c r="C414" i="9"/>
  <c r="H413" i="9"/>
  <c r="G413" i="9"/>
  <c r="D413" i="9"/>
  <c r="C413" i="9"/>
  <c r="H412" i="9"/>
  <c r="G412" i="9"/>
  <c r="D412" i="9"/>
  <c r="C412" i="9"/>
  <c r="H411" i="9"/>
  <c r="G411" i="9"/>
  <c r="D411" i="9"/>
  <c r="C411" i="9"/>
  <c r="H410" i="9"/>
  <c r="G410" i="9"/>
  <c r="D410" i="9"/>
  <c r="C410" i="9"/>
  <c r="H409" i="9"/>
  <c r="G409" i="9"/>
  <c r="D409" i="9"/>
  <c r="C409" i="9"/>
  <c r="H408" i="9"/>
  <c r="G408" i="9"/>
  <c r="D408" i="9"/>
  <c r="C408" i="9"/>
  <c r="H407" i="9"/>
  <c r="G407" i="9"/>
  <c r="D407" i="9"/>
  <c r="C407" i="9"/>
  <c r="H406" i="9"/>
  <c r="G406" i="9"/>
  <c r="D406" i="9"/>
  <c r="C406" i="9"/>
  <c r="H405" i="9"/>
  <c r="G405" i="9"/>
  <c r="D405" i="9"/>
  <c r="C405" i="9"/>
  <c r="H404" i="9"/>
  <c r="G404" i="9"/>
  <c r="D404" i="9"/>
  <c r="C404" i="9"/>
  <c r="H403" i="9"/>
  <c r="G403" i="9"/>
  <c r="D403" i="9"/>
  <c r="C403" i="9"/>
  <c r="H402" i="9"/>
  <c r="G402" i="9"/>
  <c r="D402" i="9"/>
  <c r="C402" i="9"/>
  <c r="H401" i="9"/>
  <c r="G401" i="9"/>
  <c r="D401" i="9"/>
  <c r="C401" i="9"/>
  <c r="H400" i="9"/>
  <c r="G400" i="9"/>
  <c r="D400" i="9"/>
  <c r="C400" i="9"/>
  <c r="H399" i="9"/>
  <c r="G399" i="9"/>
  <c r="D399" i="9"/>
  <c r="C399" i="9"/>
  <c r="H398" i="9"/>
  <c r="G398" i="9"/>
  <c r="D398" i="9"/>
  <c r="C398" i="9"/>
  <c r="H397" i="9"/>
  <c r="G397" i="9"/>
  <c r="D397" i="9"/>
  <c r="C397" i="9"/>
  <c r="H396" i="9"/>
  <c r="G396" i="9"/>
  <c r="D396" i="9"/>
  <c r="C396" i="9"/>
  <c r="H395" i="9"/>
  <c r="G395" i="9"/>
  <c r="D395" i="9"/>
  <c r="C395" i="9"/>
  <c r="H394" i="9"/>
  <c r="G394" i="9"/>
  <c r="D394" i="9"/>
  <c r="C394" i="9"/>
  <c r="H393" i="9"/>
  <c r="G393" i="9"/>
  <c r="D393" i="9"/>
  <c r="C393" i="9"/>
  <c r="H392" i="9"/>
  <c r="G392" i="9"/>
  <c r="D392" i="9"/>
  <c r="C392" i="9"/>
  <c r="H391" i="9"/>
  <c r="G391" i="9"/>
  <c r="D391" i="9"/>
  <c r="C391" i="9"/>
  <c r="H390" i="9"/>
  <c r="G390" i="9"/>
  <c r="D390" i="9"/>
  <c r="C390" i="9"/>
  <c r="H389" i="9"/>
  <c r="G389" i="9"/>
  <c r="D389" i="9"/>
  <c r="C389" i="9"/>
  <c r="H388" i="9"/>
  <c r="G388" i="9"/>
  <c r="D388" i="9"/>
  <c r="C388" i="9"/>
  <c r="H387" i="9"/>
  <c r="G387" i="9"/>
  <c r="D387" i="9"/>
  <c r="C387" i="9"/>
  <c r="H386" i="9"/>
  <c r="G386" i="9"/>
  <c r="D386" i="9"/>
  <c r="C386" i="9"/>
  <c r="H385" i="9"/>
  <c r="G385" i="9"/>
  <c r="D385" i="9"/>
  <c r="C385" i="9"/>
  <c r="H384" i="9"/>
  <c r="G384" i="9"/>
  <c r="D384" i="9"/>
  <c r="C384" i="9"/>
  <c r="H383" i="9"/>
  <c r="G383" i="9"/>
  <c r="D383" i="9"/>
  <c r="C383" i="9"/>
  <c r="H382" i="9"/>
  <c r="G382" i="9"/>
  <c r="D382" i="9"/>
  <c r="C382" i="9"/>
  <c r="H381" i="9"/>
  <c r="G381" i="9"/>
  <c r="D381" i="9"/>
  <c r="C381" i="9"/>
  <c r="H380" i="9"/>
  <c r="G380" i="9"/>
  <c r="D380" i="9"/>
  <c r="C380" i="9"/>
  <c r="H379" i="9"/>
  <c r="G379" i="9"/>
  <c r="D379" i="9"/>
  <c r="C379" i="9"/>
  <c r="H378" i="9"/>
  <c r="G378" i="9"/>
  <c r="D378" i="9"/>
  <c r="C378" i="9"/>
  <c r="H377" i="9"/>
  <c r="G377" i="9"/>
  <c r="D377" i="9"/>
  <c r="C377" i="9"/>
  <c r="H376" i="9"/>
  <c r="G376" i="9"/>
  <c r="D376" i="9"/>
  <c r="C376" i="9"/>
  <c r="H375" i="9"/>
  <c r="G375" i="9"/>
  <c r="D375" i="9"/>
  <c r="C375" i="9"/>
  <c r="H374" i="9"/>
  <c r="G374" i="9"/>
  <c r="D374" i="9"/>
  <c r="C374" i="9"/>
  <c r="H373" i="9"/>
  <c r="G373" i="9"/>
  <c r="D373" i="9"/>
  <c r="C373" i="9"/>
  <c r="H372" i="9"/>
  <c r="G372" i="9"/>
  <c r="D372" i="9"/>
  <c r="C372" i="9"/>
  <c r="H371" i="9"/>
  <c r="G371" i="9"/>
  <c r="D371" i="9"/>
  <c r="C371" i="9"/>
  <c r="H370" i="9"/>
  <c r="G370" i="9"/>
  <c r="D370" i="9"/>
  <c r="C370" i="9"/>
  <c r="H369" i="9"/>
  <c r="G369" i="9"/>
  <c r="D369" i="9"/>
  <c r="C369" i="9"/>
  <c r="H368" i="9"/>
  <c r="G368" i="9"/>
  <c r="D368" i="9"/>
  <c r="C368" i="9"/>
  <c r="H367" i="9"/>
  <c r="G367" i="9"/>
  <c r="D367" i="9"/>
  <c r="C367" i="9"/>
  <c r="H366" i="9"/>
  <c r="G366" i="9"/>
  <c r="D366" i="9"/>
  <c r="C366" i="9"/>
  <c r="H365" i="9"/>
  <c r="G365" i="9"/>
  <c r="D365" i="9"/>
  <c r="C365" i="9"/>
  <c r="H364" i="9"/>
  <c r="G364" i="9"/>
  <c r="D364" i="9"/>
  <c r="C364" i="9"/>
  <c r="H363" i="9"/>
  <c r="G363" i="9"/>
  <c r="D363" i="9"/>
  <c r="C363" i="9"/>
  <c r="H362" i="9"/>
  <c r="G362" i="9"/>
  <c r="D362" i="9"/>
  <c r="C362" i="9"/>
  <c r="H361" i="9"/>
  <c r="G361" i="9"/>
  <c r="D361" i="9"/>
  <c r="C361" i="9"/>
  <c r="H360" i="9"/>
  <c r="G360" i="9"/>
  <c r="D360" i="9"/>
  <c r="C360" i="9"/>
  <c r="H359" i="9"/>
  <c r="G359" i="9"/>
  <c r="D359" i="9"/>
  <c r="C359" i="9"/>
  <c r="H358" i="9"/>
  <c r="G358" i="9"/>
  <c r="D358" i="9"/>
  <c r="C358" i="9"/>
  <c r="H357" i="9"/>
  <c r="G357" i="9"/>
  <c r="D357" i="9"/>
  <c r="C357" i="9"/>
  <c r="H356" i="9"/>
  <c r="G356" i="9"/>
  <c r="D356" i="9"/>
  <c r="C356" i="9"/>
  <c r="H355" i="9"/>
  <c r="G355" i="9"/>
  <c r="D355" i="9"/>
  <c r="C355" i="9"/>
  <c r="H354" i="9"/>
  <c r="G354" i="9"/>
  <c r="D354" i="9"/>
  <c r="C354" i="9"/>
  <c r="H353" i="9"/>
  <c r="G353" i="9"/>
  <c r="D353" i="9"/>
  <c r="C353" i="9"/>
  <c r="H352" i="9"/>
  <c r="G352" i="9"/>
  <c r="D352" i="9"/>
  <c r="C352" i="9"/>
  <c r="H351" i="9"/>
  <c r="G351" i="9"/>
  <c r="D351" i="9"/>
  <c r="C351" i="9"/>
  <c r="H350" i="9"/>
  <c r="G350" i="9"/>
  <c r="D350" i="9"/>
  <c r="C350" i="9"/>
  <c r="H349" i="9"/>
  <c r="G349" i="9"/>
  <c r="D349" i="9"/>
  <c r="C349" i="9"/>
  <c r="H348" i="9"/>
  <c r="G348" i="9"/>
  <c r="D348" i="9"/>
  <c r="C348" i="9"/>
  <c r="H347" i="9"/>
  <c r="G347" i="9"/>
  <c r="D347" i="9"/>
  <c r="C347" i="9"/>
  <c r="H346" i="9"/>
  <c r="G346" i="9"/>
  <c r="D346" i="9"/>
  <c r="C346" i="9"/>
  <c r="H345" i="9"/>
  <c r="G345" i="9"/>
  <c r="D345" i="9"/>
  <c r="C345" i="9"/>
  <c r="H344" i="9"/>
  <c r="G344" i="9"/>
  <c r="D344" i="9"/>
  <c r="C344" i="9"/>
  <c r="H343" i="9"/>
  <c r="G343" i="9"/>
  <c r="D343" i="9"/>
  <c r="C343" i="9"/>
  <c r="H342" i="9"/>
  <c r="G342" i="9"/>
  <c r="D342" i="9"/>
  <c r="C342" i="9"/>
  <c r="H341" i="9"/>
  <c r="G341" i="9"/>
  <c r="D341" i="9"/>
  <c r="C341" i="9"/>
  <c r="H340" i="9"/>
  <c r="G340" i="9"/>
  <c r="D340" i="9"/>
  <c r="C340" i="9"/>
  <c r="H339" i="9"/>
  <c r="G339" i="9"/>
  <c r="D339" i="9"/>
  <c r="C339" i="9"/>
  <c r="H338" i="9"/>
  <c r="G338" i="9"/>
  <c r="D338" i="9"/>
  <c r="C338" i="9"/>
  <c r="H337" i="9"/>
  <c r="G337" i="9"/>
  <c r="D337" i="9"/>
  <c r="C337" i="9"/>
  <c r="H336" i="9"/>
  <c r="G336" i="9"/>
  <c r="D336" i="9"/>
  <c r="C336" i="9"/>
  <c r="H335" i="9"/>
  <c r="G335" i="9"/>
  <c r="D335" i="9"/>
  <c r="C335" i="9"/>
  <c r="H334" i="9"/>
  <c r="G334" i="9"/>
  <c r="D334" i="9"/>
  <c r="C334" i="9"/>
  <c r="H333" i="9"/>
  <c r="G333" i="9"/>
  <c r="D333" i="9"/>
  <c r="C333" i="9"/>
  <c r="H332" i="9"/>
  <c r="G332" i="9"/>
  <c r="D332" i="9"/>
  <c r="C332" i="9"/>
  <c r="H331" i="9"/>
  <c r="G331" i="9"/>
  <c r="D331" i="9"/>
  <c r="C331" i="9"/>
  <c r="H330" i="9"/>
  <c r="G330" i="9"/>
  <c r="D330" i="9"/>
  <c r="C330" i="9"/>
  <c r="H329" i="9"/>
  <c r="G329" i="9"/>
  <c r="D329" i="9"/>
  <c r="C329" i="9"/>
  <c r="H328" i="9"/>
  <c r="G328" i="9"/>
  <c r="D328" i="9"/>
  <c r="C328" i="9"/>
  <c r="H327" i="9"/>
  <c r="G327" i="9"/>
  <c r="D327" i="9"/>
  <c r="C327" i="9"/>
  <c r="H326" i="9"/>
  <c r="G326" i="9"/>
  <c r="D326" i="9"/>
  <c r="C326" i="9"/>
  <c r="H325" i="9"/>
  <c r="G325" i="9"/>
  <c r="D325" i="9"/>
  <c r="C325" i="9"/>
  <c r="H324" i="9"/>
  <c r="G324" i="9"/>
  <c r="D324" i="9"/>
  <c r="C324" i="9"/>
  <c r="H323" i="9"/>
  <c r="G323" i="9"/>
  <c r="D323" i="9"/>
  <c r="C323" i="9"/>
  <c r="H322" i="9"/>
  <c r="G322" i="9"/>
  <c r="D322" i="9"/>
  <c r="C322" i="9"/>
  <c r="H321" i="9"/>
  <c r="G321" i="9"/>
  <c r="D321" i="9"/>
  <c r="C321" i="9"/>
  <c r="H320" i="9"/>
  <c r="G320" i="9"/>
  <c r="D320" i="9"/>
  <c r="C320" i="9"/>
  <c r="H319" i="9"/>
  <c r="G319" i="9"/>
  <c r="D319" i="9"/>
  <c r="C319" i="9"/>
  <c r="H318" i="9"/>
  <c r="G318" i="9"/>
  <c r="D318" i="9"/>
  <c r="C318" i="9"/>
  <c r="H317" i="9"/>
  <c r="G317" i="9"/>
  <c r="D317" i="9"/>
  <c r="C317" i="9"/>
  <c r="H316" i="9"/>
  <c r="G316" i="9"/>
  <c r="D316" i="9"/>
  <c r="C316" i="9"/>
  <c r="H315" i="9"/>
  <c r="G315" i="9"/>
  <c r="D315" i="9"/>
  <c r="C315" i="9"/>
  <c r="H314" i="9"/>
  <c r="G314" i="9"/>
  <c r="D314" i="9"/>
  <c r="C314" i="9"/>
  <c r="H313" i="9"/>
  <c r="G313" i="9"/>
  <c r="D313" i="9"/>
  <c r="C313" i="9"/>
  <c r="H312" i="9"/>
  <c r="G312" i="9"/>
  <c r="D312" i="9"/>
  <c r="C312" i="9"/>
  <c r="H311" i="9"/>
  <c r="G311" i="9"/>
  <c r="D311" i="9"/>
  <c r="C311" i="9"/>
  <c r="H310" i="9"/>
  <c r="G310" i="9"/>
  <c r="D310" i="9"/>
  <c r="C310" i="9"/>
  <c r="H309" i="9"/>
  <c r="G309" i="9"/>
  <c r="D309" i="9"/>
  <c r="C309" i="9"/>
  <c r="H308" i="9"/>
  <c r="G308" i="9"/>
  <c r="D308" i="9"/>
  <c r="C308" i="9"/>
  <c r="H307" i="9"/>
  <c r="G307" i="9"/>
  <c r="D307" i="9"/>
  <c r="C307" i="9"/>
  <c r="H306" i="9"/>
  <c r="G306" i="9"/>
  <c r="D306" i="9"/>
  <c r="C306" i="9"/>
  <c r="H305" i="9"/>
  <c r="G305" i="9"/>
  <c r="D305" i="9"/>
  <c r="C305" i="9"/>
  <c r="H304" i="9"/>
  <c r="G304" i="9"/>
  <c r="D304" i="9"/>
  <c r="C304" i="9"/>
  <c r="H303" i="9"/>
  <c r="G303" i="9"/>
  <c r="D303" i="9"/>
  <c r="C303" i="9"/>
  <c r="H302" i="9"/>
  <c r="G302" i="9"/>
  <c r="D302" i="9"/>
  <c r="C302" i="9"/>
  <c r="H301" i="9"/>
  <c r="G301" i="9"/>
  <c r="D301" i="9"/>
  <c r="C301" i="9"/>
  <c r="H300" i="9"/>
  <c r="G300" i="9"/>
  <c r="D300" i="9"/>
  <c r="C300" i="9"/>
  <c r="H299" i="9"/>
  <c r="G299" i="9"/>
  <c r="D299" i="9"/>
  <c r="C299" i="9"/>
  <c r="H298" i="9"/>
  <c r="G298" i="9"/>
  <c r="D298" i="9"/>
  <c r="C298" i="9"/>
  <c r="H297" i="9"/>
  <c r="G297" i="9"/>
  <c r="D297" i="9"/>
  <c r="C297" i="9"/>
  <c r="H296" i="9"/>
  <c r="G296" i="9"/>
  <c r="D296" i="9"/>
  <c r="C296" i="9"/>
  <c r="H295" i="9"/>
  <c r="G295" i="9"/>
  <c r="D295" i="9"/>
  <c r="C295" i="9"/>
  <c r="H294" i="9"/>
  <c r="G294" i="9"/>
  <c r="D294" i="9"/>
  <c r="C294" i="9"/>
  <c r="H293" i="9"/>
  <c r="G293" i="9"/>
  <c r="D293" i="9"/>
  <c r="C293" i="9"/>
  <c r="H292" i="9"/>
  <c r="G292" i="9"/>
  <c r="D292" i="9"/>
  <c r="C292" i="9"/>
  <c r="H291" i="9"/>
  <c r="G291" i="9"/>
  <c r="D291" i="9"/>
  <c r="C291" i="9"/>
  <c r="H290" i="9"/>
  <c r="G290" i="9"/>
  <c r="D290" i="9"/>
  <c r="C290" i="9"/>
  <c r="H289" i="9"/>
  <c r="G289" i="9"/>
  <c r="D289" i="9"/>
  <c r="C289" i="9"/>
  <c r="H288" i="9"/>
  <c r="G288" i="9"/>
  <c r="D288" i="9"/>
  <c r="C288" i="9"/>
  <c r="H287" i="9"/>
  <c r="G287" i="9"/>
  <c r="D287" i="9"/>
  <c r="C287" i="9"/>
  <c r="H286" i="9"/>
  <c r="G286" i="9"/>
  <c r="D286" i="9"/>
  <c r="C286" i="9"/>
  <c r="H285" i="9"/>
  <c r="G285" i="9"/>
  <c r="D285" i="9"/>
  <c r="C285" i="9"/>
  <c r="H284" i="9"/>
  <c r="G284" i="9"/>
  <c r="D284" i="9"/>
  <c r="C284" i="9"/>
  <c r="H283" i="9"/>
  <c r="G283" i="9"/>
  <c r="D283" i="9"/>
  <c r="C283" i="9"/>
  <c r="H282" i="9"/>
  <c r="G282" i="9"/>
  <c r="D282" i="9"/>
  <c r="C282" i="9"/>
  <c r="H281" i="9"/>
  <c r="G281" i="9"/>
  <c r="D281" i="9"/>
  <c r="C281" i="9"/>
  <c r="H280" i="9"/>
  <c r="G280" i="9"/>
  <c r="D280" i="9"/>
  <c r="C280" i="9"/>
  <c r="H279" i="9"/>
  <c r="G279" i="9"/>
  <c r="D279" i="9"/>
  <c r="C279" i="9"/>
  <c r="H278" i="9"/>
  <c r="G278" i="9"/>
  <c r="D278" i="9"/>
  <c r="C278" i="9"/>
  <c r="H277" i="9"/>
  <c r="G277" i="9"/>
  <c r="D277" i="9"/>
  <c r="C277" i="9"/>
  <c r="H276" i="9"/>
  <c r="G276" i="9"/>
  <c r="D276" i="9"/>
  <c r="C276" i="9"/>
  <c r="H275" i="9"/>
  <c r="G275" i="9"/>
  <c r="D275" i="9"/>
  <c r="C275" i="9"/>
  <c r="H274" i="9"/>
  <c r="G274" i="9"/>
  <c r="D274" i="9"/>
  <c r="C274" i="9"/>
  <c r="H273" i="9"/>
  <c r="G273" i="9"/>
  <c r="D273" i="9"/>
  <c r="C273" i="9"/>
  <c r="H272" i="9"/>
  <c r="G272" i="9"/>
  <c r="D272" i="9"/>
  <c r="C272" i="9"/>
  <c r="H271" i="9"/>
  <c r="G271" i="9"/>
  <c r="D271" i="9"/>
  <c r="C271" i="9"/>
  <c r="H270" i="9"/>
  <c r="G270" i="9"/>
  <c r="D270" i="9"/>
  <c r="C270" i="9"/>
  <c r="H269" i="9"/>
  <c r="G269" i="9"/>
  <c r="D269" i="9"/>
  <c r="C269" i="9"/>
  <c r="H268" i="9"/>
  <c r="G268" i="9"/>
  <c r="D268" i="9"/>
  <c r="C268" i="9"/>
  <c r="H267" i="9"/>
  <c r="G267" i="9"/>
  <c r="D267" i="9"/>
  <c r="C267" i="9"/>
  <c r="H266" i="9"/>
  <c r="G266" i="9"/>
  <c r="D266" i="9"/>
  <c r="C266" i="9"/>
  <c r="H265" i="9"/>
  <c r="G265" i="9"/>
  <c r="D265" i="9"/>
  <c r="C265" i="9"/>
  <c r="H264" i="9"/>
  <c r="G264" i="9"/>
  <c r="D264" i="9"/>
  <c r="C264" i="9"/>
  <c r="H263" i="9"/>
  <c r="G263" i="9"/>
  <c r="D263" i="9"/>
  <c r="C263" i="9"/>
  <c r="H262" i="9"/>
  <c r="G262" i="9"/>
  <c r="D262" i="9"/>
  <c r="C262" i="9"/>
  <c r="H261" i="9"/>
  <c r="G261" i="9"/>
  <c r="D261" i="9"/>
  <c r="C261" i="9"/>
  <c r="H260" i="9"/>
  <c r="G260" i="9"/>
  <c r="D260" i="9"/>
  <c r="C260" i="9"/>
  <c r="H259" i="9"/>
  <c r="G259" i="9"/>
  <c r="D259" i="9"/>
  <c r="C259" i="9"/>
  <c r="H258" i="9"/>
  <c r="G258" i="9"/>
  <c r="D258" i="9"/>
  <c r="C258" i="9"/>
  <c r="H257" i="9"/>
  <c r="G257" i="9"/>
  <c r="D257" i="9"/>
  <c r="C257" i="9"/>
  <c r="H256" i="9"/>
  <c r="G256" i="9"/>
  <c r="D256" i="9"/>
  <c r="C256" i="9"/>
  <c r="H255" i="9"/>
  <c r="G255" i="9"/>
  <c r="D255" i="9"/>
  <c r="C255" i="9"/>
  <c r="H254" i="9"/>
  <c r="G254" i="9"/>
  <c r="D254" i="9"/>
  <c r="C254" i="9"/>
  <c r="H253" i="9"/>
  <c r="G253" i="9"/>
  <c r="D253" i="9"/>
  <c r="C253" i="9"/>
  <c r="H252" i="9"/>
  <c r="G252" i="9"/>
  <c r="D252" i="9"/>
  <c r="C252" i="9"/>
  <c r="H251" i="9"/>
  <c r="G251" i="9"/>
  <c r="D251" i="9"/>
  <c r="C251" i="9"/>
  <c r="H250" i="9"/>
  <c r="G250" i="9"/>
  <c r="D250" i="9"/>
  <c r="C250" i="9"/>
  <c r="H249" i="9"/>
  <c r="G249" i="9"/>
  <c r="D249" i="9"/>
  <c r="C249" i="9"/>
  <c r="H248" i="9"/>
  <c r="G248" i="9"/>
  <c r="D248" i="9"/>
  <c r="C248" i="9"/>
  <c r="H247" i="9"/>
  <c r="G247" i="9"/>
  <c r="D247" i="9"/>
  <c r="C247" i="9"/>
  <c r="H246" i="9"/>
  <c r="G246" i="9"/>
  <c r="D246" i="9"/>
  <c r="C246" i="9"/>
  <c r="H245" i="9"/>
  <c r="G245" i="9"/>
  <c r="D245" i="9"/>
  <c r="C245" i="9"/>
  <c r="H244" i="9"/>
  <c r="G244" i="9"/>
  <c r="D244" i="9"/>
  <c r="C244" i="9"/>
  <c r="H243" i="9"/>
  <c r="G243" i="9"/>
  <c r="D243" i="9"/>
  <c r="C243" i="9"/>
  <c r="H242" i="9"/>
  <c r="G242" i="9"/>
  <c r="D242" i="9"/>
  <c r="C242" i="9"/>
  <c r="H241" i="9"/>
  <c r="G241" i="9"/>
  <c r="D241" i="9"/>
  <c r="C241" i="9"/>
  <c r="H240" i="9"/>
  <c r="G240" i="9"/>
  <c r="D240" i="9"/>
  <c r="C240" i="9"/>
  <c r="H239" i="9"/>
  <c r="G239" i="9"/>
  <c r="D239" i="9"/>
  <c r="C239" i="9"/>
  <c r="H238" i="9"/>
  <c r="G238" i="9"/>
  <c r="D238" i="9"/>
  <c r="C238" i="9"/>
  <c r="H237" i="9"/>
  <c r="G237" i="9"/>
  <c r="D237" i="9"/>
  <c r="C237" i="9"/>
  <c r="H236" i="9"/>
  <c r="G236" i="9"/>
  <c r="D236" i="9"/>
  <c r="C236" i="9"/>
  <c r="H235" i="9"/>
  <c r="G235" i="9"/>
  <c r="D235" i="9"/>
  <c r="C235" i="9"/>
  <c r="H234" i="9"/>
  <c r="G234" i="9"/>
  <c r="D234" i="9"/>
  <c r="C234" i="9"/>
  <c r="H233" i="9"/>
  <c r="G233" i="9"/>
  <c r="D233" i="9"/>
  <c r="C233" i="9"/>
  <c r="H232" i="9"/>
  <c r="G232" i="9"/>
  <c r="D232" i="9"/>
  <c r="C232" i="9"/>
  <c r="H231" i="9"/>
  <c r="G231" i="9"/>
  <c r="D231" i="9"/>
  <c r="C231" i="9"/>
  <c r="H230" i="9"/>
  <c r="G230" i="9"/>
  <c r="D230" i="9"/>
  <c r="C230" i="9"/>
  <c r="H229" i="9"/>
  <c r="G229" i="9"/>
  <c r="D229" i="9"/>
  <c r="C229" i="9"/>
  <c r="H228" i="9"/>
  <c r="G228" i="9"/>
  <c r="D228" i="9"/>
  <c r="C228" i="9"/>
  <c r="H227" i="9"/>
  <c r="G227" i="9"/>
  <c r="D227" i="9"/>
  <c r="C227" i="9"/>
  <c r="H226" i="9"/>
  <c r="G226" i="9"/>
  <c r="D226" i="9"/>
  <c r="C226" i="9"/>
  <c r="H225" i="9"/>
  <c r="G225" i="9"/>
  <c r="D225" i="9"/>
  <c r="C225" i="9"/>
  <c r="H224" i="9"/>
  <c r="G224" i="9"/>
  <c r="D224" i="9"/>
  <c r="C224" i="9"/>
  <c r="H223" i="9"/>
  <c r="G223" i="9"/>
  <c r="D223" i="9"/>
  <c r="C223" i="9"/>
  <c r="H222" i="9"/>
  <c r="G222" i="9"/>
  <c r="D222" i="9"/>
  <c r="C222" i="9"/>
  <c r="H221" i="9"/>
  <c r="G221" i="9"/>
  <c r="D221" i="9"/>
  <c r="C221" i="9"/>
  <c r="H220" i="9"/>
  <c r="G220" i="9"/>
  <c r="D220" i="9"/>
  <c r="C220" i="9"/>
  <c r="H219" i="9"/>
  <c r="G219" i="9"/>
  <c r="D219" i="9"/>
  <c r="C219" i="9"/>
  <c r="H218" i="9"/>
  <c r="G218" i="9"/>
  <c r="D218" i="9"/>
  <c r="C218" i="9"/>
  <c r="H217" i="9"/>
  <c r="G217" i="9"/>
  <c r="D217" i="9"/>
  <c r="C217" i="9"/>
  <c r="H216" i="9"/>
  <c r="G216" i="9"/>
  <c r="D216" i="9"/>
  <c r="C216" i="9"/>
  <c r="H215" i="9"/>
  <c r="G215" i="9"/>
  <c r="D215" i="9"/>
  <c r="C215" i="9"/>
  <c r="H214" i="9"/>
  <c r="G214" i="9"/>
  <c r="D214" i="9"/>
  <c r="C214" i="9"/>
  <c r="H213" i="9"/>
  <c r="G213" i="9"/>
  <c r="D213" i="9"/>
  <c r="C213" i="9"/>
  <c r="H212" i="9"/>
  <c r="G212" i="9"/>
  <c r="D212" i="9"/>
  <c r="C212" i="9"/>
  <c r="H211" i="9"/>
  <c r="G211" i="9"/>
  <c r="D211" i="9"/>
  <c r="C211" i="9"/>
  <c r="H210" i="9"/>
  <c r="G210" i="9"/>
  <c r="D210" i="9"/>
  <c r="C210" i="9"/>
  <c r="H209" i="9"/>
  <c r="G209" i="9"/>
  <c r="D209" i="9"/>
  <c r="C209" i="9"/>
  <c r="H208" i="9"/>
  <c r="G208" i="9"/>
  <c r="D208" i="9"/>
  <c r="C208" i="9"/>
  <c r="H207" i="9"/>
  <c r="G207" i="9"/>
  <c r="D207" i="9"/>
  <c r="C207" i="9"/>
  <c r="H206" i="9"/>
  <c r="G206" i="9"/>
  <c r="D206" i="9"/>
  <c r="C206" i="9"/>
  <c r="H205" i="9"/>
  <c r="G205" i="9"/>
  <c r="D205" i="9"/>
  <c r="C205" i="9"/>
  <c r="H204" i="9"/>
  <c r="G204" i="9"/>
  <c r="D204" i="9"/>
  <c r="C204" i="9"/>
  <c r="H203" i="9"/>
  <c r="G203" i="9"/>
  <c r="D203" i="9"/>
  <c r="C203" i="9"/>
  <c r="H202" i="9"/>
  <c r="G202" i="9"/>
  <c r="D202" i="9"/>
  <c r="C202" i="9"/>
  <c r="H201" i="9"/>
  <c r="G201" i="9"/>
  <c r="D201" i="9"/>
  <c r="C201" i="9"/>
  <c r="H200" i="9"/>
  <c r="G200" i="9"/>
  <c r="D200" i="9"/>
  <c r="C200" i="9"/>
  <c r="H199" i="9"/>
  <c r="G199" i="9"/>
  <c r="D199" i="9"/>
  <c r="C199" i="9"/>
  <c r="H198" i="9"/>
  <c r="G198" i="9"/>
  <c r="D198" i="9"/>
  <c r="C198" i="9"/>
  <c r="H197" i="9"/>
  <c r="G197" i="9"/>
  <c r="D197" i="9"/>
  <c r="C197" i="9"/>
  <c r="H196" i="9"/>
  <c r="G196" i="9"/>
  <c r="D196" i="9"/>
  <c r="C196" i="9"/>
  <c r="H195" i="9"/>
  <c r="G195" i="9"/>
  <c r="D195" i="9"/>
  <c r="C195" i="9"/>
  <c r="H194" i="9"/>
  <c r="G194" i="9"/>
  <c r="D194" i="9"/>
  <c r="C194" i="9"/>
  <c r="H193" i="9"/>
  <c r="G193" i="9"/>
  <c r="D193" i="9"/>
  <c r="C193" i="9"/>
  <c r="H192" i="9"/>
  <c r="G192" i="9"/>
  <c r="D192" i="9"/>
  <c r="C192" i="9"/>
  <c r="H191" i="9"/>
  <c r="G191" i="9"/>
  <c r="D191" i="9"/>
  <c r="C191" i="9"/>
  <c r="H190" i="9"/>
  <c r="G190" i="9"/>
  <c r="D190" i="9"/>
  <c r="C190" i="9"/>
  <c r="H189" i="9"/>
  <c r="G189" i="9"/>
  <c r="D189" i="9"/>
  <c r="C189" i="9"/>
  <c r="H188" i="9"/>
  <c r="G188" i="9"/>
  <c r="D188" i="9"/>
  <c r="C188" i="9"/>
  <c r="H187" i="9"/>
  <c r="G187" i="9"/>
  <c r="D187" i="9"/>
  <c r="C187" i="9"/>
  <c r="H186" i="9"/>
  <c r="G186" i="9"/>
  <c r="D186" i="9"/>
  <c r="C186" i="9"/>
  <c r="H185" i="9"/>
  <c r="G185" i="9"/>
  <c r="D185" i="9"/>
  <c r="C185" i="9"/>
  <c r="H184" i="9"/>
  <c r="G184" i="9"/>
  <c r="D184" i="9"/>
  <c r="C184" i="9"/>
  <c r="H183" i="9"/>
  <c r="G183" i="9"/>
  <c r="D183" i="9"/>
  <c r="C183" i="9"/>
  <c r="H182" i="9"/>
  <c r="G182" i="9"/>
  <c r="D182" i="9"/>
  <c r="C182" i="9"/>
  <c r="H181" i="9"/>
  <c r="G181" i="9"/>
  <c r="D181" i="9"/>
  <c r="C181" i="9"/>
  <c r="H180" i="9"/>
  <c r="G180" i="9"/>
  <c r="D180" i="9"/>
  <c r="C180" i="9"/>
  <c r="H179" i="9"/>
  <c r="G179" i="9"/>
  <c r="D179" i="9"/>
  <c r="C179" i="9"/>
  <c r="H178" i="9"/>
  <c r="G178" i="9"/>
  <c r="D178" i="9"/>
  <c r="C178" i="9"/>
  <c r="H177" i="9"/>
  <c r="G177" i="9"/>
  <c r="D177" i="9"/>
  <c r="C177" i="9"/>
  <c r="H176" i="9"/>
  <c r="G176" i="9"/>
  <c r="D176" i="9"/>
  <c r="C176" i="9"/>
  <c r="H175" i="9"/>
  <c r="G175" i="9"/>
  <c r="D175" i="9"/>
  <c r="C175" i="9"/>
  <c r="H174" i="9"/>
  <c r="G174" i="9"/>
  <c r="D174" i="9"/>
  <c r="C174" i="9"/>
  <c r="H173" i="9"/>
  <c r="G173" i="9"/>
  <c r="D173" i="9"/>
  <c r="C173" i="9"/>
  <c r="H172" i="9"/>
  <c r="G172" i="9"/>
  <c r="D172" i="9"/>
  <c r="C172" i="9"/>
  <c r="H171" i="9"/>
  <c r="G171" i="9"/>
  <c r="D171" i="9"/>
  <c r="C171" i="9"/>
  <c r="H170" i="9"/>
  <c r="G170" i="9"/>
  <c r="D170" i="9"/>
  <c r="C170" i="9"/>
  <c r="H169" i="9"/>
  <c r="G169" i="9"/>
  <c r="D169" i="9"/>
  <c r="C169" i="9"/>
  <c r="H168" i="9"/>
  <c r="G168" i="9"/>
  <c r="D168" i="9"/>
  <c r="C168" i="9"/>
  <c r="H167" i="9"/>
  <c r="G167" i="9"/>
  <c r="D167" i="9"/>
  <c r="C167" i="9"/>
  <c r="H166" i="9"/>
  <c r="G166" i="9"/>
  <c r="D166" i="9"/>
  <c r="C166" i="9"/>
  <c r="H165" i="9"/>
  <c r="G165" i="9"/>
  <c r="D165" i="9"/>
  <c r="C165" i="9"/>
  <c r="H164" i="9"/>
  <c r="G164" i="9"/>
  <c r="D164" i="9"/>
  <c r="C164" i="9"/>
  <c r="H163" i="9"/>
  <c r="G163" i="9"/>
  <c r="D163" i="9"/>
  <c r="C163" i="9"/>
  <c r="H162" i="9"/>
  <c r="G162" i="9"/>
  <c r="D162" i="9"/>
  <c r="C162" i="9"/>
  <c r="H161" i="9"/>
  <c r="G161" i="9"/>
  <c r="D161" i="9"/>
  <c r="C161" i="9"/>
  <c r="H160" i="9"/>
  <c r="G160" i="9"/>
  <c r="D160" i="9"/>
  <c r="C160" i="9"/>
  <c r="H159" i="9"/>
  <c r="G159" i="9"/>
  <c r="D159" i="9"/>
  <c r="C159" i="9"/>
  <c r="H158" i="9"/>
  <c r="G158" i="9"/>
  <c r="D158" i="9"/>
  <c r="C158" i="9"/>
  <c r="H157" i="9"/>
  <c r="G157" i="9"/>
  <c r="D157" i="9"/>
  <c r="C157" i="9"/>
  <c r="H156" i="9"/>
  <c r="G156" i="9"/>
  <c r="D156" i="9"/>
  <c r="C156" i="9"/>
  <c r="H155" i="9"/>
  <c r="G155" i="9"/>
  <c r="D155" i="9"/>
  <c r="C155" i="9"/>
  <c r="H154" i="9"/>
  <c r="G154" i="9"/>
  <c r="D154" i="9"/>
  <c r="C154" i="9"/>
  <c r="H153" i="9"/>
  <c r="G153" i="9"/>
  <c r="D153" i="9"/>
  <c r="C153" i="9"/>
  <c r="H152" i="9"/>
  <c r="G152" i="9"/>
  <c r="D152" i="9"/>
  <c r="C152" i="9"/>
  <c r="H151" i="9"/>
  <c r="G151" i="9"/>
  <c r="D151" i="9"/>
  <c r="C151" i="9"/>
  <c r="H150" i="9"/>
  <c r="G150" i="9"/>
  <c r="D150" i="9"/>
  <c r="C150" i="9"/>
  <c r="H149" i="9"/>
  <c r="G149" i="9"/>
  <c r="D149" i="9"/>
  <c r="C149" i="9"/>
  <c r="H148" i="9"/>
  <c r="G148" i="9"/>
  <c r="D148" i="9"/>
  <c r="C148" i="9"/>
  <c r="H147" i="9"/>
  <c r="G147" i="9"/>
  <c r="D147" i="9"/>
  <c r="C147" i="9"/>
  <c r="H146" i="9"/>
  <c r="G146" i="9"/>
  <c r="D146" i="9"/>
  <c r="C146" i="9"/>
  <c r="H145" i="9"/>
  <c r="G145" i="9"/>
  <c r="D145" i="9"/>
  <c r="C145" i="9"/>
  <c r="H144" i="9"/>
  <c r="G144" i="9"/>
  <c r="D144" i="9"/>
  <c r="C144" i="9"/>
  <c r="H143" i="9"/>
  <c r="G143" i="9"/>
  <c r="D143" i="9"/>
  <c r="C143" i="9"/>
  <c r="H142" i="9"/>
  <c r="G142" i="9"/>
  <c r="D142" i="9"/>
  <c r="C142" i="9"/>
  <c r="H141" i="9"/>
  <c r="G141" i="9"/>
  <c r="D141" i="9"/>
  <c r="C141" i="9"/>
  <c r="H140" i="9"/>
  <c r="G140" i="9"/>
  <c r="D140" i="9"/>
  <c r="C140" i="9"/>
  <c r="H139" i="9"/>
  <c r="G139" i="9"/>
  <c r="D139" i="9"/>
  <c r="C139" i="9"/>
  <c r="H138" i="9"/>
  <c r="G138" i="9"/>
  <c r="D138" i="9"/>
  <c r="C138" i="9"/>
  <c r="H137" i="9"/>
  <c r="G137" i="9"/>
  <c r="D137" i="9"/>
  <c r="C137" i="9"/>
  <c r="H136" i="9"/>
  <c r="G136" i="9"/>
  <c r="D136" i="9"/>
  <c r="C136" i="9"/>
  <c r="H135" i="9"/>
  <c r="G135" i="9"/>
  <c r="D135" i="9"/>
  <c r="C135" i="9"/>
  <c r="H134" i="9"/>
  <c r="G134" i="9"/>
  <c r="D134" i="9"/>
  <c r="C134" i="9"/>
  <c r="H133" i="9"/>
  <c r="G133" i="9"/>
  <c r="D133" i="9"/>
  <c r="C133" i="9"/>
  <c r="H132" i="9"/>
  <c r="G132" i="9"/>
  <c r="D132" i="9"/>
  <c r="C132" i="9"/>
  <c r="H131" i="9"/>
  <c r="G131" i="9"/>
  <c r="D131" i="9"/>
  <c r="C131" i="9"/>
  <c r="H130" i="9"/>
  <c r="G130" i="9"/>
  <c r="D130" i="9"/>
  <c r="C130" i="9"/>
  <c r="H129" i="9"/>
  <c r="G129" i="9"/>
  <c r="D129" i="9"/>
  <c r="C129" i="9"/>
  <c r="H128" i="9"/>
  <c r="G128" i="9"/>
  <c r="D128" i="9"/>
  <c r="C128" i="9"/>
  <c r="H127" i="9"/>
  <c r="G127" i="9"/>
  <c r="D127" i="9"/>
  <c r="C127" i="9"/>
  <c r="H126" i="9"/>
  <c r="G126" i="9"/>
  <c r="D126" i="9"/>
  <c r="C126" i="9"/>
  <c r="H125" i="9"/>
  <c r="G125" i="9"/>
  <c r="D125" i="9"/>
  <c r="C125" i="9"/>
  <c r="H124" i="9"/>
  <c r="G124" i="9"/>
  <c r="D124" i="9"/>
  <c r="C124" i="9"/>
  <c r="H123" i="9"/>
  <c r="G123" i="9"/>
  <c r="D123" i="9"/>
  <c r="C123" i="9"/>
  <c r="H122" i="9"/>
  <c r="G122" i="9"/>
  <c r="D122" i="9"/>
  <c r="C122" i="9"/>
  <c r="H121" i="9"/>
  <c r="G121" i="9"/>
  <c r="D121" i="9"/>
  <c r="C121" i="9"/>
  <c r="H120" i="9"/>
  <c r="G120" i="9"/>
  <c r="D120" i="9"/>
  <c r="C120" i="9"/>
  <c r="H119" i="9"/>
  <c r="G119" i="9"/>
  <c r="D119" i="9"/>
  <c r="C119" i="9"/>
  <c r="H118" i="9"/>
  <c r="G118" i="9"/>
  <c r="D118" i="9"/>
  <c r="C118" i="9"/>
  <c r="H117" i="9"/>
  <c r="G117" i="9"/>
  <c r="D117" i="9"/>
  <c r="C117" i="9"/>
  <c r="H116" i="9"/>
  <c r="G116" i="9"/>
  <c r="D116" i="9"/>
  <c r="C116" i="9"/>
  <c r="H115" i="9"/>
  <c r="G115" i="9"/>
  <c r="D115" i="9"/>
  <c r="C115" i="9"/>
  <c r="H114" i="9"/>
  <c r="G114" i="9"/>
  <c r="D114" i="9"/>
  <c r="C114" i="9"/>
  <c r="H113" i="9"/>
  <c r="G113" i="9"/>
  <c r="D113" i="9"/>
  <c r="C113" i="9"/>
  <c r="H112" i="9"/>
  <c r="G112" i="9"/>
  <c r="D112" i="9"/>
  <c r="C112" i="9"/>
  <c r="H111" i="9"/>
  <c r="G111" i="9"/>
  <c r="D111" i="9"/>
  <c r="C111" i="9"/>
  <c r="H110" i="9"/>
  <c r="G110" i="9"/>
  <c r="D110" i="9"/>
  <c r="C110" i="9"/>
  <c r="H109" i="9"/>
  <c r="G109" i="9"/>
  <c r="D109" i="9"/>
  <c r="C109" i="9"/>
  <c r="H108" i="9"/>
  <c r="G108" i="9"/>
  <c r="D108" i="9"/>
  <c r="C108" i="9"/>
  <c r="H107" i="9"/>
  <c r="G107" i="9"/>
  <c r="D107" i="9"/>
  <c r="C107" i="9"/>
  <c r="H106" i="9"/>
  <c r="G106" i="9"/>
  <c r="D106" i="9"/>
  <c r="C106" i="9"/>
  <c r="H105" i="9"/>
  <c r="G105" i="9"/>
  <c r="D105" i="9"/>
  <c r="C105" i="9"/>
  <c r="H104" i="9"/>
  <c r="G104" i="9"/>
  <c r="D104" i="9"/>
  <c r="C104" i="9"/>
  <c r="H103" i="9"/>
  <c r="G103" i="9"/>
  <c r="D103" i="9"/>
  <c r="C103" i="9"/>
  <c r="H102" i="9"/>
  <c r="G102" i="9"/>
  <c r="D102" i="9"/>
  <c r="C102" i="9"/>
  <c r="H101" i="9"/>
  <c r="G101" i="9"/>
  <c r="D101" i="9"/>
  <c r="C101" i="9"/>
  <c r="H100" i="9"/>
  <c r="G100" i="9"/>
  <c r="D100" i="9"/>
  <c r="C100" i="9"/>
  <c r="H99" i="9"/>
  <c r="G99" i="9"/>
  <c r="D99" i="9"/>
  <c r="C99" i="9"/>
  <c r="H98" i="9"/>
  <c r="G98" i="9"/>
  <c r="D98" i="9"/>
  <c r="C98" i="9"/>
  <c r="H97" i="9"/>
  <c r="G97" i="9"/>
  <c r="D97" i="9"/>
  <c r="C97" i="9"/>
  <c r="H96" i="9"/>
  <c r="G96" i="9"/>
  <c r="D96" i="9"/>
  <c r="C96" i="9"/>
  <c r="H95" i="9"/>
  <c r="G95" i="9"/>
  <c r="D95" i="9"/>
  <c r="C95" i="9"/>
  <c r="H94" i="9"/>
  <c r="G94" i="9"/>
  <c r="D94" i="9"/>
  <c r="C94" i="9"/>
  <c r="H93" i="9"/>
  <c r="G93" i="9"/>
  <c r="D93" i="9"/>
  <c r="C93" i="9"/>
  <c r="H92" i="9"/>
  <c r="G92" i="9"/>
  <c r="D92" i="9"/>
  <c r="C92" i="9"/>
  <c r="H91" i="9"/>
  <c r="G91" i="9"/>
  <c r="D91" i="9"/>
  <c r="C91" i="9"/>
  <c r="H90" i="9"/>
  <c r="G90" i="9"/>
  <c r="D90" i="9"/>
  <c r="C90" i="9"/>
  <c r="H89" i="9"/>
  <c r="G89" i="9"/>
  <c r="D89" i="9"/>
  <c r="C89" i="9"/>
  <c r="H88" i="9"/>
  <c r="G88" i="9"/>
  <c r="D88" i="9"/>
  <c r="C88" i="9"/>
  <c r="H87" i="9"/>
  <c r="G87" i="9"/>
  <c r="D87" i="9"/>
  <c r="C87" i="9"/>
  <c r="H86" i="9"/>
  <c r="G86" i="9"/>
  <c r="D86" i="9"/>
  <c r="C86" i="9"/>
  <c r="H85" i="9"/>
  <c r="G85" i="9"/>
  <c r="D85" i="9"/>
  <c r="C85" i="9"/>
  <c r="H84" i="9"/>
  <c r="G84" i="9"/>
  <c r="D84" i="9"/>
  <c r="C84" i="9"/>
  <c r="H83" i="9"/>
  <c r="G83" i="9"/>
  <c r="D83" i="9"/>
  <c r="C83" i="9"/>
  <c r="H82" i="9"/>
  <c r="G82" i="9"/>
  <c r="D82" i="9"/>
  <c r="C82" i="9"/>
  <c r="H81" i="9"/>
  <c r="G81" i="9"/>
  <c r="D81" i="9"/>
  <c r="C81" i="9"/>
  <c r="H80" i="9"/>
  <c r="G80" i="9"/>
  <c r="D80" i="9"/>
  <c r="C80" i="9"/>
  <c r="H79" i="9"/>
  <c r="G79" i="9"/>
  <c r="D79" i="9"/>
  <c r="C79" i="9"/>
  <c r="H78" i="9"/>
  <c r="G78" i="9"/>
  <c r="D78" i="9"/>
  <c r="C78" i="9"/>
  <c r="H77" i="9"/>
  <c r="G77" i="9"/>
  <c r="D77" i="9"/>
  <c r="C77" i="9"/>
  <c r="H76" i="9"/>
  <c r="G76" i="9"/>
  <c r="D76" i="9"/>
  <c r="C76" i="9"/>
  <c r="H75" i="9"/>
  <c r="G75" i="9"/>
  <c r="D75" i="9"/>
  <c r="C75" i="9"/>
  <c r="H74" i="9"/>
  <c r="G74" i="9"/>
  <c r="D74" i="9"/>
  <c r="C74" i="9"/>
  <c r="H73" i="9"/>
  <c r="G73" i="9"/>
  <c r="D73" i="9"/>
  <c r="C73" i="9"/>
  <c r="H72" i="9"/>
  <c r="G72" i="9"/>
  <c r="D72" i="9"/>
  <c r="C72" i="9"/>
  <c r="H71" i="9"/>
  <c r="G71" i="9"/>
  <c r="D71" i="9"/>
  <c r="C71" i="9"/>
  <c r="H70" i="9"/>
  <c r="G70" i="9"/>
  <c r="D70" i="9"/>
  <c r="C70" i="9"/>
  <c r="H69" i="9"/>
  <c r="G69" i="9"/>
  <c r="D69" i="9"/>
  <c r="C69" i="9"/>
  <c r="H68" i="9"/>
  <c r="G68" i="9"/>
  <c r="D68" i="9"/>
  <c r="C68" i="9"/>
  <c r="H67" i="9"/>
  <c r="G67" i="9"/>
  <c r="D67" i="9"/>
  <c r="C67" i="9"/>
  <c r="H66" i="9"/>
  <c r="G66" i="9"/>
  <c r="D66" i="9"/>
  <c r="C66" i="9"/>
  <c r="H65" i="9"/>
  <c r="G65" i="9"/>
  <c r="D65" i="9"/>
  <c r="C65" i="9"/>
  <c r="H64" i="9"/>
  <c r="G64" i="9"/>
  <c r="D64" i="9"/>
  <c r="C64" i="9"/>
  <c r="H63" i="9"/>
  <c r="G63" i="9"/>
  <c r="D63" i="9"/>
  <c r="C63" i="9"/>
  <c r="H62" i="9"/>
  <c r="G62" i="9"/>
  <c r="D62" i="9"/>
  <c r="C62" i="9"/>
  <c r="H61" i="9"/>
  <c r="G61" i="9"/>
  <c r="D61" i="9"/>
  <c r="C61" i="9"/>
  <c r="H60" i="9"/>
  <c r="G60" i="9"/>
  <c r="D60" i="9"/>
  <c r="C60" i="9"/>
  <c r="H59" i="9"/>
  <c r="G59" i="9"/>
  <c r="D59" i="9"/>
  <c r="C59" i="9"/>
  <c r="H58" i="9"/>
  <c r="G58" i="9"/>
  <c r="D58" i="9"/>
  <c r="C58" i="9"/>
  <c r="H57" i="9"/>
  <c r="G57" i="9"/>
  <c r="D57" i="9"/>
  <c r="C57" i="9"/>
  <c r="H56" i="9"/>
  <c r="G56" i="9"/>
  <c r="D56" i="9"/>
  <c r="C56" i="9"/>
  <c r="H55" i="9"/>
  <c r="G55" i="9"/>
  <c r="D55" i="9"/>
  <c r="C55" i="9"/>
  <c r="H54" i="9"/>
  <c r="G54" i="9"/>
  <c r="D54" i="9"/>
  <c r="C54" i="9"/>
  <c r="H53" i="9"/>
  <c r="G53" i="9"/>
  <c r="D53" i="9"/>
  <c r="C53" i="9"/>
  <c r="H52" i="9"/>
  <c r="G52" i="9"/>
  <c r="D52" i="9"/>
  <c r="C52" i="9"/>
  <c r="H51" i="9"/>
  <c r="G51" i="9"/>
  <c r="D51" i="9"/>
  <c r="C51" i="9"/>
  <c r="H50" i="9"/>
  <c r="G50" i="9"/>
  <c r="D50" i="9"/>
  <c r="C50" i="9"/>
  <c r="H49" i="9"/>
  <c r="G49" i="9"/>
  <c r="D49" i="9"/>
  <c r="C49" i="9"/>
  <c r="H48" i="9"/>
  <c r="G48" i="9"/>
  <c r="D48" i="9"/>
  <c r="C48" i="9"/>
  <c r="H47" i="9"/>
  <c r="G47" i="9"/>
  <c r="D47" i="9"/>
  <c r="C47" i="9"/>
  <c r="H46" i="9"/>
  <c r="G46" i="9"/>
  <c r="D46" i="9"/>
  <c r="C46" i="9"/>
  <c r="H45" i="9"/>
  <c r="G45" i="9"/>
  <c r="D45" i="9"/>
  <c r="C45" i="9"/>
  <c r="H44" i="9"/>
  <c r="G44" i="9"/>
  <c r="D44" i="9"/>
  <c r="C44" i="9"/>
  <c r="H43" i="9"/>
  <c r="G43" i="9"/>
  <c r="D43" i="9"/>
  <c r="C43" i="9"/>
  <c r="H42" i="9"/>
  <c r="G42" i="9"/>
  <c r="D42" i="9"/>
  <c r="C42" i="9"/>
  <c r="H41" i="9"/>
  <c r="G41" i="9"/>
  <c r="D41" i="9"/>
  <c r="C41" i="9"/>
  <c r="H40" i="9"/>
  <c r="G40" i="9"/>
  <c r="D40" i="9"/>
  <c r="C40" i="9"/>
  <c r="H39" i="9"/>
  <c r="G39" i="9"/>
  <c r="D39" i="9"/>
  <c r="C39" i="9"/>
  <c r="H38" i="9"/>
  <c r="G38" i="9"/>
  <c r="D38" i="9"/>
  <c r="C38" i="9"/>
  <c r="H37" i="9"/>
  <c r="G37" i="9"/>
  <c r="D37" i="9"/>
  <c r="C37" i="9"/>
  <c r="H36" i="9"/>
  <c r="G36" i="9"/>
  <c r="D36" i="9"/>
  <c r="C36" i="9"/>
  <c r="H35" i="9"/>
  <c r="G35" i="9"/>
  <c r="D35" i="9"/>
  <c r="C35" i="9"/>
  <c r="H34" i="9"/>
  <c r="G34" i="9"/>
  <c r="D34" i="9"/>
  <c r="C34" i="9"/>
  <c r="H33" i="9"/>
  <c r="G33" i="9"/>
  <c r="D33" i="9"/>
  <c r="C33" i="9"/>
  <c r="H32" i="9"/>
  <c r="G32" i="9"/>
  <c r="D32" i="9"/>
  <c r="C32" i="9"/>
  <c r="H31" i="9"/>
  <c r="G31" i="9"/>
  <c r="D31" i="9"/>
  <c r="C31" i="9"/>
  <c r="H30" i="9"/>
  <c r="G30" i="9"/>
  <c r="D30" i="9"/>
  <c r="C30" i="9"/>
  <c r="H29" i="9"/>
  <c r="G29" i="9"/>
  <c r="D29" i="9"/>
  <c r="C29" i="9"/>
  <c r="H28" i="9"/>
  <c r="G28" i="9"/>
  <c r="D28" i="9"/>
  <c r="C28" i="9"/>
  <c r="H27" i="9"/>
  <c r="G27" i="9"/>
  <c r="D27" i="9"/>
  <c r="C27" i="9"/>
  <c r="H26" i="9"/>
  <c r="G26" i="9"/>
  <c r="D26" i="9"/>
  <c r="C26" i="9"/>
  <c r="H25" i="9"/>
  <c r="G25" i="9"/>
  <c r="D25" i="9"/>
  <c r="C25" i="9"/>
  <c r="H24" i="9"/>
  <c r="G24" i="9"/>
  <c r="D24" i="9"/>
  <c r="C24" i="9"/>
  <c r="H23" i="9"/>
  <c r="G23" i="9"/>
  <c r="D23" i="9"/>
  <c r="C23" i="9"/>
  <c r="H22" i="9"/>
  <c r="G22" i="9"/>
  <c r="D22" i="9"/>
  <c r="C22" i="9"/>
  <c r="H21" i="9"/>
  <c r="G21" i="9"/>
  <c r="D21" i="9"/>
  <c r="C21" i="9"/>
  <c r="H20" i="9"/>
  <c r="G20" i="9"/>
  <c r="D20" i="9"/>
  <c r="C20" i="9"/>
  <c r="H19" i="9"/>
  <c r="G19" i="9"/>
  <c r="D19" i="9"/>
  <c r="C19" i="9"/>
  <c r="H18" i="9"/>
  <c r="G18" i="9"/>
  <c r="D18" i="9"/>
  <c r="C18" i="9"/>
  <c r="H17" i="9"/>
  <c r="G17" i="9"/>
  <c r="D17" i="9"/>
  <c r="C17" i="9"/>
  <c r="H16" i="9"/>
  <c r="G16" i="9"/>
  <c r="D16" i="9"/>
  <c r="C16" i="9"/>
  <c r="H15" i="9"/>
  <c r="G15" i="9"/>
  <c r="D15" i="9"/>
  <c r="C15" i="9"/>
  <c r="H14" i="9"/>
  <c r="G14" i="9"/>
  <c r="D14" i="9"/>
  <c r="C14" i="9"/>
  <c r="H13" i="9"/>
  <c r="G13" i="9"/>
  <c r="D13" i="9"/>
  <c r="C13" i="9"/>
  <c r="H12" i="9"/>
  <c r="G12" i="9"/>
  <c r="D12" i="9"/>
  <c r="C12" i="9"/>
  <c r="H11" i="9"/>
  <c r="G11" i="9"/>
  <c r="D11" i="9"/>
  <c r="C11" i="9"/>
  <c r="H10" i="9"/>
  <c r="G10" i="9"/>
  <c r="D10" i="9"/>
  <c r="C10" i="9"/>
  <c r="H9" i="9"/>
  <c r="G9" i="9"/>
  <c r="D9" i="9"/>
  <c r="C9" i="9"/>
  <c r="H8" i="9"/>
  <c r="G8" i="9"/>
  <c r="D8" i="9"/>
  <c r="C8" i="9"/>
  <c r="H7" i="9"/>
  <c r="G7" i="9"/>
  <c r="D7" i="9"/>
  <c r="C7" i="9"/>
  <c r="H6" i="9"/>
  <c r="G6" i="9"/>
  <c r="D6" i="9"/>
  <c r="C6" i="9"/>
  <c r="H5" i="9"/>
  <c r="G5" i="9"/>
  <c r="D5" i="9"/>
  <c r="C5" i="9"/>
  <c r="H4" i="9"/>
  <c r="G4" i="9"/>
  <c r="D4" i="9"/>
  <c r="C4" i="9"/>
  <c r="H3" i="9"/>
  <c r="G3" i="9"/>
  <c r="D3" i="9"/>
  <c r="C3" i="9"/>
  <c r="AJ235" i="18" l="1"/>
  <c r="N235" i="18"/>
  <c r="V235" i="18"/>
  <c r="AD235" i="18"/>
  <c r="AL235" i="18"/>
  <c r="G235" i="18"/>
  <c r="O235" i="18"/>
  <c r="W235" i="18"/>
  <c r="AE235" i="18"/>
  <c r="AM235" i="18"/>
  <c r="X235" i="18"/>
  <c r="AF235" i="18"/>
  <c r="T235" i="18"/>
  <c r="I235" i="18"/>
  <c r="Q235" i="18"/>
  <c r="Y235" i="18"/>
  <c r="AG235" i="18"/>
  <c r="AO235" i="18"/>
  <c r="L235" i="18"/>
  <c r="AN235" i="18"/>
  <c r="J235" i="18"/>
  <c r="R235" i="18"/>
  <c r="Z235" i="18"/>
  <c r="AH235" i="18"/>
  <c r="AP235" i="18"/>
  <c r="K235" i="18"/>
  <c r="S235" i="18"/>
  <c r="AA235" i="18"/>
  <c r="AI235" i="18"/>
  <c r="AQ235" i="18"/>
  <c r="AB235" i="18"/>
  <c r="F235" i="18"/>
  <c r="E235" i="18"/>
  <c r="M235" i="18"/>
  <c r="U235" i="18"/>
  <c r="AC235" i="18"/>
  <c r="AK235" i="18"/>
  <c r="H235" i="18"/>
  <c r="P235" i="18"/>
  <c r="F194" i="18"/>
  <c r="P242" i="18" l="1"/>
  <c r="P236" i="18"/>
  <c r="P238" i="18" s="1"/>
  <c r="U236" i="18"/>
  <c r="U238" i="18" s="1"/>
  <c r="U242" i="18" s="1"/>
  <c r="AI242" i="18"/>
  <c r="AI236" i="18"/>
  <c r="AI238" i="18" s="1"/>
  <c r="AP236" i="18"/>
  <c r="AP238" i="18" s="1"/>
  <c r="AP242" i="18" s="1"/>
  <c r="J242" i="18"/>
  <c r="J236" i="18"/>
  <c r="J238" i="18" s="1"/>
  <c r="AO236" i="18"/>
  <c r="AO238" i="18" s="1"/>
  <c r="AO242" i="18" s="1"/>
  <c r="I242" i="18"/>
  <c r="I236" i="18"/>
  <c r="I238" i="18" s="1"/>
  <c r="AF236" i="18"/>
  <c r="AF238" i="18" s="1"/>
  <c r="AF242" i="18" s="1"/>
  <c r="W242" i="18"/>
  <c r="W236" i="18"/>
  <c r="W238" i="18" s="1"/>
  <c r="AD236" i="18"/>
  <c r="AD238" i="18" s="1"/>
  <c r="AD242" i="18" s="1"/>
  <c r="H242" i="18"/>
  <c r="H236" i="18"/>
  <c r="H238" i="18" s="1"/>
  <c r="M236" i="18"/>
  <c r="M238" i="18" s="1"/>
  <c r="M242" i="18" s="1"/>
  <c r="AA242" i="18"/>
  <c r="AA236" i="18"/>
  <c r="AA238" i="18" s="1"/>
  <c r="AH236" i="18"/>
  <c r="AH238" i="18" s="1"/>
  <c r="AH242" i="18" s="1"/>
  <c r="AG242" i="18"/>
  <c r="AG236" i="18"/>
  <c r="AG238" i="18" s="1"/>
  <c r="X236" i="18"/>
  <c r="X238" i="18" s="1"/>
  <c r="X242" i="18" s="1"/>
  <c r="O242" i="18"/>
  <c r="O236" i="18"/>
  <c r="O238" i="18" s="1"/>
  <c r="V236" i="18"/>
  <c r="V238" i="18" s="1"/>
  <c r="V242" i="18" s="1"/>
  <c r="AK242" i="18"/>
  <c r="AK236" i="18"/>
  <c r="AK238" i="18" s="1"/>
  <c r="E236" i="18"/>
  <c r="E238" i="18" s="1"/>
  <c r="E242" i="18" s="1"/>
  <c r="AB242" i="18"/>
  <c r="AB236" i="18"/>
  <c r="AB238" i="18" s="1"/>
  <c r="S236" i="18"/>
  <c r="S238" i="18" s="1"/>
  <c r="S242" i="18" s="1"/>
  <c r="Z242" i="18"/>
  <c r="Z236" i="18"/>
  <c r="Z238" i="18" s="1"/>
  <c r="AN236" i="18"/>
  <c r="AN238" i="18" s="1"/>
  <c r="AN242" i="18" s="1"/>
  <c r="Y242" i="18"/>
  <c r="Y236" i="18"/>
  <c r="Y238" i="18" s="1"/>
  <c r="AM236" i="18"/>
  <c r="AM238" i="18" s="1"/>
  <c r="AM242" i="18" s="1"/>
  <c r="G236" i="18"/>
  <c r="G238" i="18" s="1"/>
  <c r="G242" i="18" s="1"/>
  <c r="N236" i="18"/>
  <c r="N238" i="18" s="1"/>
  <c r="N242" i="18" s="1"/>
  <c r="AC242" i="18"/>
  <c r="AC236" i="18"/>
  <c r="AC238" i="18" s="1"/>
  <c r="F236" i="18"/>
  <c r="F238" i="18" s="1"/>
  <c r="F242" i="18" s="1"/>
  <c r="AQ242" i="18"/>
  <c r="AQ236" i="18"/>
  <c r="AQ238" i="18" s="1"/>
  <c r="K236" i="18"/>
  <c r="K238" i="18" s="1"/>
  <c r="K242" i="18" s="1"/>
  <c r="R236" i="18"/>
  <c r="R238" i="18" s="1"/>
  <c r="R242" i="18" s="1"/>
  <c r="L236" i="18"/>
  <c r="L238" i="18" s="1"/>
  <c r="L242" i="18" s="1"/>
  <c r="Q236" i="18"/>
  <c r="Q238" i="18" s="1"/>
  <c r="Q242" i="18" s="1"/>
  <c r="T236" i="18"/>
  <c r="T238" i="18" s="1"/>
  <c r="T242" i="18" s="1"/>
  <c r="AE236" i="18"/>
  <c r="AE238" i="18" s="1"/>
  <c r="AE242" i="18" s="1"/>
  <c r="AL236" i="18"/>
  <c r="AL238" i="18" s="1"/>
  <c r="AL242" i="18" s="1"/>
  <c r="AJ236" i="18"/>
  <c r="AJ238" i="18" s="1"/>
  <c r="AJ242" i="18" s="1"/>
  <c r="P225" i="18"/>
  <c r="AD26" i="18" s="1"/>
  <c r="P241" i="18"/>
  <c r="P224" i="18" s="1"/>
  <c r="AD25" i="18" s="1"/>
  <c r="P243" i="18"/>
  <c r="P226" i="18" s="1"/>
  <c r="AD27" i="18" s="1"/>
  <c r="AI243" i="18"/>
  <c r="AI226" i="18" s="1"/>
  <c r="AW27" i="18" s="1"/>
  <c r="AI225" i="18"/>
  <c r="AW26" i="18" s="1"/>
  <c r="AI241" i="18"/>
  <c r="AI224" i="18" s="1"/>
  <c r="AW25" i="18" s="1"/>
  <c r="J225" i="18"/>
  <c r="X26" i="18" s="1"/>
  <c r="J243" i="18"/>
  <c r="J226" i="18" s="1"/>
  <c r="X27" i="18" s="1"/>
  <c r="J241" i="18"/>
  <c r="J224" i="18" s="1"/>
  <c r="X25" i="18" s="1"/>
  <c r="I225" i="18"/>
  <c r="W26" i="18" s="1"/>
  <c r="I243" i="18"/>
  <c r="I226" i="18" s="1"/>
  <c r="W27" i="18" s="1"/>
  <c r="I241" i="18"/>
  <c r="I224" i="18" s="1"/>
  <c r="W25" i="18" s="1"/>
  <c r="W225" i="18"/>
  <c r="AK26" i="18" s="1"/>
  <c r="W243" i="18"/>
  <c r="W226" i="18" s="1"/>
  <c r="AK27" i="18" s="1"/>
  <c r="W241" i="18"/>
  <c r="W224" i="18" s="1"/>
  <c r="AK25" i="18" s="1"/>
  <c r="H225" i="18"/>
  <c r="V26" i="18" s="1"/>
  <c r="H243" i="18"/>
  <c r="H226" i="18" s="1"/>
  <c r="V27" i="18" s="1"/>
  <c r="H241" i="18"/>
  <c r="H224" i="18" s="1"/>
  <c r="V25" i="18" s="1"/>
  <c r="AA225" i="18"/>
  <c r="AO26" i="18" s="1"/>
  <c r="AA243" i="18"/>
  <c r="AA226" i="18" s="1"/>
  <c r="AO27" i="18" s="1"/>
  <c r="AA241" i="18"/>
  <c r="AA224" i="18" s="1"/>
  <c r="AO25" i="18" s="1"/>
  <c r="AG225" i="18"/>
  <c r="AU26" i="18" s="1"/>
  <c r="AG243" i="18"/>
  <c r="AG226" i="18" s="1"/>
  <c r="AU27" i="18" s="1"/>
  <c r="AG241" i="18"/>
  <c r="AG224" i="18" s="1"/>
  <c r="AU25" i="18" s="1"/>
  <c r="O225" i="18"/>
  <c r="AC26" i="18" s="1"/>
  <c r="O243" i="18"/>
  <c r="O226" i="18" s="1"/>
  <c r="AC27" i="18" s="1"/>
  <c r="O241" i="18"/>
  <c r="O224" i="18" s="1"/>
  <c r="AC25" i="18" s="1"/>
  <c r="AK225" i="18"/>
  <c r="AY26" i="18" s="1"/>
  <c r="AK243" i="18"/>
  <c r="AK226" i="18" s="1"/>
  <c r="AY27" i="18" s="1"/>
  <c r="AK241" i="18"/>
  <c r="AK224" i="18" s="1"/>
  <c r="AY25" i="18" s="1"/>
  <c r="AB225" i="18"/>
  <c r="AP26" i="18" s="1"/>
  <c r="AB243" i="18"/>
  <c r="AB226" i="18" s="1"/>
  <c r="AP27" i="18" s="1"/>
  <c r="AB241" i="18"/>
  <c r="AB224" i="18" s="1"/>
  <c r="AP25" i="18" s="1"/>
  <c r="Z225" i="18"/>
  <c r="AN26" i="18" s="1"/>
  <c r="Z243" i="18"/>
  <c r="Z226" i="18" s="1"/>
  <c r="AN27" i="18" s="1"/>
  <c r="Z241" i="18"/>
  <c r="Z224" i="18" s="1"/>
  <c r="AN25" i="18" s="1"/>
  <c r="Y225" i="18"/>
  <c r="AM26" i="18" s="1"/>
  <c r="Y243" i="18"/>
  <c r="Y226" i="18" s="1"/>
  <c r="AM27" i="18" s="1"/>
  <c r="Y241" i="18"/>
  <c r="Y224" i="18" s="1"/>
  <c r="AM25" i="18" s="1"/>
  <c r="AC225" i="18"/>
  <c r="AQ26" i="18" s="1"/>
  <c r="AC243" i="18"/>
  <c r="AC226" i="18" s="1"/>
  <c r="AQ27" i="18" s="1"/>
  <c r="AC241" i="18"/>
  <c r="AC224" i="18" s="1"/>
  <c r="AQ25" i="18" s="1"/>
  <c r="AQ225" i="18"/>
  <c r="BE26" i="18" s="1"/>
  <c r="AQ241" i="18"/>
  <c r="AQ224" i="18" s="1"/>
  <c r="BE25" i="18" s="1"/>
  <c r="AQ243" i="18"/>
  <c r="AQ226" i="18" s="1"/>
  <c r="BE27" i="18" s="1"/>
  <c r="G225" i="18" l="1"/>
  <c r="U26" i="18" s="1"/>
  <c r="G243" i="18"/>
  <c r="G226" i="18" s="1"/>
  <c r="U27" i="18" s="1"/>
  <c r="G241" i="18"/>
  <c r="G224" i="18" s="1"/>
  <c r="U25" i="18" s="1"/>
  <c r="T241" i="18"/>
  <c r="T224" i="18" s="1"/>
  <c r="AH25" i="18" s="1"/>
  <c r="T243" i="18"/>
  <c r="T226" i="18" s="1"/>
  <c r="AH27" i="18" s="1"/>
  <c r="T225" i="18"/>
  <c r="AH26" i="18" s="1"/>
  <c r="K225" i="18"/>
  <c r="Y26" i="18" s="1"/>
  <c r="K243" i="18"/>
  <c r="K226" i="18" s="1"/>
  <c r="Y27" i="18" s="1"/>
  <c r="K241" i="18"/>
  <c r="K224" i="18" s="1"/>
  <c r="Y25" i="18" s="1"/>
  <c r="AN225" i="18"/>
  <c r="BB26" i="18" s="1"/>
  <c r="AN243" i="18"/>
  <c r="AN226" i="18" s="1"/>
  <c r="BB27" i="18" s="1"/>
  <c r="AN241" i="18"/>
  <c r="AN224" i="18" s="1"/>
  <c r="BB25" i="18" s="1"/>
  <c r="X225" i="18"/>
  <c r="AL26" i="18" s="1"/>
  <c r="X241" i="18"/>
  <c r="X224" i="18" s="1"/>
  <c r="AL25" i="18" s="1"/>
  <c r="X243" i="18"/>
  <c r="X226" i="18" s="1"/>
  <c r="AL27" i="18" s="1"/>
  <c r="AF225" i="18"/>
  <c r="AT26" i="18" s="1"/>
  <c r="AF243" i="18"/>
  <c r="AF226" i="18" s="1"/>
  <c r="AT27" i="18" s="1"/>
  <c r="AF241" i="18"/>
  <c r="AF224" i="18" s="1"/>
  <c r="AT25" i="18" s="1"/>
  <c r="AJ225" i="18"/>
  <c r="AX26" i="18" s="1"/>
  <c r="AJ243" i="18"/>
  <c r="AJ226" i="18" s="1"/>
  <c r="AX27" i="18" s="1"/>
  <c r="AJ241" i="18"/>
  <c r="AJ224" i="18" s="1"/>
  <c r="AX25" i="18" s="1"/>
  <c r="Q225" i="18"/>
  <c r="AE26" i="18" s="1"/>
  <c r="Q243" i="18"/>
  <c r="Q226" i="18" s="1"/>
  <c r="AE27" i="18" s="1"/>
  <c r="Q241" i="18"/>
  <c r="Q224" i="18" s="1"/>
  <c r="AE25" i="18" s="1"/>
  <c r="AM243" i="18"/>
  <c r="AM226" i="18" s="1"/>
  <c r="BA27" i="18" s="1"/>
  <c r="AM241" i="18"/>
  <c r="AM224" i="18" s="1"/>
  <c r="BA25" i="18" s="1"/>
  <c r="AM225" i="18"/>
  <c r="BA26" i="18" s="1"/>
  <c r="V225" i="18"/>
  <c r="AJ26" i="18" s="1"/>
  <c r="V241" i="18"/>
  <c r="V224" i="18" s="1"/>
  <c r="AJ25" i="18" s="1"/>
  <c r="V243" i="18"/>
  <c r="V226" i="18" s="1"/>
  <c r="AJ27" i="18" s="1"/>
  <c r="AD243" i="18"/>
  <c r="AD226" i="18" s="1"/>
  <c r="AR27" i="18" s="1"/>
  <c r="AD225" i="18"/>
  <c r="AR26" i="18" s="1"/>
  <c r="AD241" i="18"/>
  <c r="AD224" i="18" s="1"/>
  <c r="AR25" i="18" s="1"/>
  <c r="U243" i="18"/>
  <c r="U226" i="18" s="1"/>
  <c r="AI27" i="18" s="1"/>
  <c r="U225" i="18"/>
  <c r="AI26" i="18" s="1"/>
  <c r="U241" i="18"/>
  <c r="U224" i="18" s="1"/>
  <c r="AI25" i="18" s="1"/>
  <c r="AL243" i="18"/>
  <c r="AL226" i="18" s="1"/>
  <c r="AZ27" i="18" s="1"/>
  <c r="AL225" i="18"/>
  <c r="AZ26" i="18" s="1"/>
  <c r="AL241" i="18"/>
  <c r="AL224" i="18" s="1"/>
  <c r="AZ25" i="18" s="1"/>
  <c r="L241" i="18"/>
  <c r="L224" i="18" s="1"/>
  <c r="Z25" i="18" s="1"/>
  <c r="L225" i="18"/>
  <c r="Z26" i="18" s="1"/>
  <c r="L243" i="18"/>
  <c r="L226" i="18" s="1"/>
  <c r="Z27" i="18" s="1"/>
  <c r="N243" i="18"/>
  <c r="N226" i="18" s="1"/>
  <c r="AB27" i="18" s="1"/>
  <c r="N225" i="18"/>
  <c r="AB26" i="18" s="1"/>
  <c r="N241" i="18"/>
  <c r="N224" i="18" s="1"/>
  <c r="AB25" i="18" s="1"/>
  <c r="E243" i="18"/>
  <c r="E226" i="18" s="1"/>
  <c r="S27" i="18" s="1"/>
  <c r="E225" i="18"/>
  <c r="S26" i="18" s="1"/>
  <c r="E241" i="18"/>
  <c r="E224" i="18" s="1"/>
  <c r="S25" i="18" s="1"/>
  <c r="M241" i="18"/>
  <c r="M224" i="18" s="1"/>
  <c r="AA25" i="18" s="1"/>
  <c r="M225" i="18"/>
  <c r="AA26" i="18" s="1"/>
  <c r="M243" i="18"/>
  <c r="M226" i="18" s="1"/>
  <c r="AA27" i="18" s="1"/>
  <c r="AP225" i="18"/>
  <c r="BD26" i="18" s="1"/>
  <c r="AP243" i="18"/>
  <c r="AP226" i="18" s="1"/>
  <c r="BD27" i="18" s="1"/>
  <c r="AP241" i="18"/>
  <c r="AP224" i="18" s="1"/>
  <c r="BD25" i="18" s="1"/>
  <c r="AE241" i="18"/>
  <c r="AE224" i="18" s="1"/>
  <c r="AS25" i="18" s="1"/>
  <c r="AE243" i="18"/>
  <c r="AE226" i="18" s="1"/>
  <c r="AS27" i="18" s="1"/>
  <c r="AE225" i="18"/>
  <c r="AS26" i="18" s="1"/>
  <c r="R225" i="18"/>
  <c r="AF26" i="18" s="1"/>
  <c r="R243" i="18"/>
  <c r="R226" i="18" s="1"/>
  <c r="AF27" i="18" s="1"/>
  <c r="R241" i="18"/>
  <c r="R224" i="18" s="1"/>
  <c r="AF25" i="18" s="1"/>
  <c r="F225" i="18"/>
  <c r="T26" i="18" s="1"/>
  <c r="F241" i="18"/>
  <c r="F224" i="18" s="1"/>
  <c r="T25" i="18" s="1"/>
  <c r="F243" i="18"/>
  <c r="F226" i="18" s="1"/>
  <c r="T27" i="18" s="1"/>
  <c r="S225" i="18"/>
  <c r="AG26" i="18" s="1"/>
  <c r="S243" i="18"/>
  <c r="S226" i="18" s="1"/>
  <c r="AG27" i="18" s="1"/>
  <c r="S241" i="18"/>
  <c r="S224" i="18" s="1"/>
  <c r="AG25" i="18" s="1"/>
  <c r="AH225" i="18"/>
  <c r="AV26" i="18" s="1"/>
  <c r="AH243" i="18"/>
  <c r="AH226" i="18" s="1"/>
  <c r="AV27" i="18" s="1"/>
  <c r="AH241" i="18"/>
  <c r="AH224" i="18" s="1"/>
  <c r="AV25" i="18" s="1"/>
  <c r="AO241" i="18"/>
  <c r="AO224" i="18" s="1"/>
  <c r="BC25" i="18" s="1"/>
  <c r="AO243" i="18"/>
  <c r="AO226" i="18" s="1"/>
  <c r="BC27" i="18" s="1"/>
  <c r="AO225" i="18"/>
  <c r="BC26"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2" authorId="0" shapeId="0" xr:uid="{00000000-0006-0000-0300-000001000000}">
      <text>
        <r>
          <rPr>
            <sz val="11"/>
            <color indexed="81"/>
            <rFont val="ＭＳ Ｐゴシック"/>
            <family val="3"/>
            <charset val="128"/>
          </rPr>
          <t>シート名が転記されます。</t>
        </r>
      </text>
    </comment>
    <comment ref="D4" authorId="0" shapeId="0" xr:uid="{00000000-0006-0000-0300-000002000000}">
      <text>
        <r>
          <rPr>
            <sz val="11"/>
            <color indexed="81"/>
            <rFont val="ＭＳ Ｐゴシック"/>
            <family val="3"/>
            <charset val="128"/>
          </rPr>
          <t>初添の日のみ（2024/1/20などといった形で）入力してください（あとは自動入力されます）</t>
        </r>
      </text>
    </comment>
    <comment ref="A7" authorId="0" shapeId="0" xr:uid="{00000000-0006-0000-0300-000003000000}">
      <text>
        <r>
          <rPr>
            <sz val="9"/>
            <color indexed="81"/>
            <rFont val="MS P ゴシック"/>
            <family val="3"/>
            <charset val="128"/>
          </rPr>
          <t>追水量をL単位で記入してください。
ここに入れた数値の合計が仕込配合の追水量として自動転記されるほか、溶解度・発酵度・発酵/溶解比のくみ水100％換算指標の計算にも用いられます。
なお、追水作業においては通常、分析を行った後に追水をし、次の日になって改めて分析する（つまり追水後は、すぐには分析しない）というのが一般的だと考えられるところ、追水量の補正は次の日からかかるようになっています。逆に、仮に追水をした後に（その日中に）分析をしたとしても、分析値は本もろみ経過簿には入力しないか、するとしても次の日にところに入力してください。
また、追水作業を20回を超えて行った場合、</t>
        </r>
        <r>
          <rPr>
            <u/>
            <sz val="9"/>
            <color indexed="81"/>
            <rFont val="MS P ゴシック"/>
            <family val="3"/>
            <charset val="128"/>
          </rPr>
          <t>20回を超えた分については溶解度・発酵度・発酵/溶解比のくみ水100％換算指標の計算に用いられません</t>
        </r>
        <r>
          <rPr>
            <sz val="9"/>
            <color indexed="81"/>
            <rFont val="MS P ゴシック"/>
            <family val="3"/>
            <charset val="128"/>
          </rPr>
          <t>ので御留意ください。</t>
        </r>
      </text>
    </comment>
    <comment ref="A12" authorId="0" shapeId="0" xr:uid="{00000000-0006-0000-0300-000004000000}">
      <text>
        <r>
          <rPr>
            <sz val="9"/>
            <color indexed="81"/>
            <rFont val="MS P ゴシック"/>
            <family val="3"/>
            <charset val="128"/>
          </rPr>
          <t>２日目以降に目標最高品温を超えた場合、セルがピンクに着色されます。ジャケットの冷水や氷等を使って温度を下げてください。</t>
        </r>
      </text>
    </comment>
    <comment ref="A14" authorId="0" shapeId="0" xr:uid="{00000000-0006-0000-0300-000005000000}">
      <text>
        <r>
          <rPr>
            <sz val="9"/>
            <color indexed="81"/>
            <rFont val="MS P ゴシック"/>
            <family val="3"/>
            <charset val="128"/>
          </rPr>
          <t>目標値を超えた場合、セルがピンクに着色されます。A-B直線や液化力・発酵力を見ながら、必要に応じ追水を行ってください。</t>
        </r>
      </text>
    </comment>
    <comment ref="C14" authorId="0" shapeId="0" xr:uid="{00000000-0006-0000-0300-000006000000}">
      <text>
        <r>
          <rPr>
            <sz val="9"/>
            <color indexed="81"/>
            <rFont val="MS P ゴシック"/>
            <family val="3"/>
            <charset val="128"/>
          </rPr>
          <t>ボーメと日本酒度両方を入力した場合、ボーメの値が優先されます。</t>
        </r>
      </text>
    </comment>
    <comment ref="A15" authorId="0" shapeId="0" xr:uid="{00000000-0006-0000-0300-000007000000}">
      <text>
        <r>
          <rPr>
            <sz val="9"/>
            <color indexed="81"/>
            <rFont val="MS P ゴシック"/>
            <family val="3"/>
            <charset val="128"/>
          </rPr>
          <t>目標値を超えた場合、セルがピンクに着色されます。アルコール度数や発酵力、液化力等を考慮しつつ、上槽について検討してください。</t>
        </r>
      </text>
    </comment>
    <comment ref="A16" authorId="0" shapeId="0" xr:uid="{00000000-0006-0000-0300-000008000000}">
      <text>
        <r>
          <rPr>
            <sz val="9"/>
            <color indexed="81"/>
            <rFont val="MS P ゴシック"/>
            <family val="3"/>
            <charset val="128"/>
          </rPr>
          <t>目標値を超えた場合、セルがピンクに着色されます。目標値を大きく超えた場合は、追水や四段等によって薄める、アル添量を減らすのも一法です。</t>
        </r>
      </text>
    </comment>
    <comment ref="A17" authorId="0" shapeId="0" xr:uid="{00000000-0006-0000-0300-000009000000}">
      <text>
        <r>
          <rPr>
            <sz val="9"/>
            <color indexed="81"/>
            <rFont val="MS P ゴシック"/>
            <family val="3"/>
            <charset val="128"/>
          </rPr>
          <t>目標値を超えた場合、セルがピンクに着色されます。目標値を大きく超えた場合は、四段等によって薄めるのも一法です（10％以内のアル添程度では0.2弱しか下がりません。また除酸はお勧めしません）。</t>
        </r>
      </text>
    </comment>
    <comment ref="A18" authorId="0" shapeId="0" xr:uid="{00000000-0006-0000-0300-00000A000000}">
      <text>
        <r>
          <rPr>
            <sz val="9"/>
            <color indexed="81"/>
            <rFont val="MS P ゴシック"/>
            <family val="3"/>
            <charset val="128"/>
          </rPr>
          <t>目標値を超えた場合、セルがピンクに着色されます。目標値を大きく超えた場合は、四段等によって薄めるのも一法です（10％以内のアル添程度では0.2弱しか下がりません）。</t>
        </r>
      </text>
    </comment>
    <comment ref="A20" authorId="0" shapeId="0" xr:uid="{00000000-0006-0000-0300-00000B000000}">
      <text>
        <r>
          <rPr>
            <sz val="9"/>
            <color indexed="81"/>
            <rFont val="MS P ゴシック"/>
            <family val="3"/>
            <charset val="128"/>
          </rPr>
          <t>目標値を超えた場合、セルがピンクに着色されます。</t>
        </r>
      </text>
    </comment>
    <comment ref="A22" authorId="0" shapeId="0" xr:uid="{00000000-0006-0000-0300-00000C000000}">
      <text>
        <r>
          <rPr>
            <sz val="9"/>
            <color indexed="81"/>
            <rFont val="MS P ゴシック"/>
            <family val="3"/>
            <charset val="128"/>
          </rPr>
          <t>便宜上、エキス分－グルコースをオリゴ糖としたものであり、実際の値は異なることをご承知おき願います。
また、この計算方法だと、酵母によっては資化できるマルトースやスクロースなどもオリゴ糖扱いとなっていることにもご留意ください。</t>
        </r>
      </text>
    </comment>
    <comment ref="A28" authorId="0" shapeId="0" xr:uid="{00000000-0006-0000-0300-00000D000000}">
      <text>
        <r>
          <rPr>
            <sz val="9"/>
            <color indexed="81"/>
            <rFont val="MS P ゴシック"/>
            <family val="3"/>
            <charset val="128"/>
          </rPr>
          <t>アルコール発酵（アルコール分増加）に使用されたエキス分（グルコース）の量を発酵力と定義し、以下の式で算出しています。
　（基準日のアルコール分－基準日よりも１～５日前（I24セルで可変）のアルコール分）×1.5848
算出の関係上、２日以上のアルコール分の測定をする必要があります。
一般的に前急型のもろみは初期（５日前まで）にピークが来るとともに、絶対値も高くなる傾向があり、
前緩型のもろみは５日以降にピークが来るとともに、絶対値もそこまで高くない傾向があると考えられます。
発酵力の上位20％のセルはピンクに着色されるので、参考にしてください。
絶対値が低い場合は発酵不全になります。また、液化力と比して相対的に低すぎる場合は濃糖圧迫のおそれが出てきます。
本数値はくみ水歩合によって変動することから、くみ水歩合を100％固定として補正することも可能です（追水した場合も補正する）。補正する場合はI25セルを「補正する」にしてください。
なお、発酵力・液化力・糖化力の詳細説明は、「はじめに」をご参照ください。</t>
        </r>
      </text>
    </comment>
    <comment ref="A29" authorId="0" shapeId="0" xr:uid="{00000000-0006-0000-0300-00000E000000}">
      <text>
        <r>
          <rPr>
            <sz val="9"/>
            <color indexed="81"/>
            <rFont val="MS P ゴシック"/>
            <family val="3"/>
            <charset val="128"/>
          </rPr>
          <t>米から溶け出てきたエキス分（グルコース・オリゴ糖の合計）の量を液化力と定義し、以下の式で算出しています。
　基準日のエキス分－基準日よりも１～５日前（I24セルで可変）のエキス分＋「発酵力」
算出の関係上、２日以上のアルコール分及びボーメ（日本酒度）の測定をする必要があります。
一般的に溶けが良いもろみは、この液化力の絶対値が高くなります。絶対値が低い場合は酵素剤の使用等を検討してください。
液化力の上位20％のセルはピンクに着色されるので、参考にしてください。
発酵力と比して相対的に高すぎる場合は濃糖圧迫のおそれが出てきます。逆に、相対的に低すぎる場合は、糖の供給と発酵のバランスが崩れており、香気成分が低くなる傾向があると考えられます。
本数値はくみ水歩合によって変動することから、くみ水歩合を100％固定として補正することも可能です（追水した場合も補正する）。補正する場合はI25セルを「補正する」にしてください。
なお、発酵力・液化力・糖化力の詳細説明は、「はじめに」をご参照ください。</t>
        </r>
      </text>
    </comment>
    <comment ref="A30" authorId="0" shapeId="0" xr:uid="{00000000-0006-0000-0300-00000F000000}">
      <text>
        <r>
          <rPr>
            <sz val="9"/>
            <color indexed="81"/>
            <rFont val="MS P ゴシック"/>
            <family val="3"/>
            <charset val="128"/>
          </rPr>
          <t>米から直接溶け出てきたグルコース、及びもろみ中のオリゴ糖から出てきたグルコースの合計の量を糖化力と定義し、以下の式で算出しています。
　基準日のグルコース分－基準日よりも１～５日前（I24セルで可変）のグルコース分＋「発酵力」
算出の関係上、２日以上のアルコール分及びグルコース量の測定をする必要があります。
グルコアミラーゼ力価が高い麹を使ったもろみは、糖化力の絶対値が高くなります。絶対値が低い場合は酵素剤の使用等を検討してください。液化力の上位20％のセルはピンクに着色されるので、参考にしてください。
液化力と比して相対的に高い場合はGA比が高いということであり、香気成分が高くなる傾向があると考えられます。逆に、相対的に低い場合は、米の溶けは進んでいるものの、酵母が資化できる糖の供給は少なめということであり、香気成分が低くなる傾向・もっさりとした味わいになる傾向があると考えられます。
本数値はくみ水歩合によって変動することから、くみ水歩合を100％固定として補正することも可能です（追水した場合も補正する）。補正する場合はI25セルを「補正する」にしてください。
なお、発酵力・液化力・糖化力の詳細説明は、「はじめに」をご参照ください。</t>
        </r>
      </text>
    </comment>
    <comment ref="A31" authorId="0" shapeId="0" xr:uid="{00000000-0006-0000-0300-000010000000}">
      <text>
        <r>
          <rPr>
            <sz val="9"/>
            <color indexed="81"/>
            <rFont val="MS P ゴシック"/>
            <family val="3"/>
            <charset val="128"/>
          </rPr>
          <t>発酵力、液化力、糖化力を算出するには、基準日とそれより前の日(比較日）のアルコール及びボーメ（日本酒度）の分析が必要ですが、毎日分析していない場合もあると考えられたところ、比較日数を１～５日の間で可変することができます。
例えば毎日分析している場合、比較日数を１日にすれば前日との比較で各指標を算出しますが、１日おきに分析している場合は比較日数を２日にします。
なお計算上、比較日数が長いとその分、発酵力等の値は大きくなります(単純に言えば、比較日数１日と５日では、値が５倍になる）。従って、比較日数が違う場合の値同士を比較することにはあまり意味がないことにご留意ください。</t>
        </r>
      </text>
    </comment>
    <comment ref="AP31" authorId="0" shapeId="0" xr:uid="{00000000-0006-0000-0300-000011000000}">
      <text>
        <r>
          <rPr>
            <sz val="9"/>
            <color indexed="81"/>
            <rFont val="MS P ゴシック"/>
            <family val="3"/>
            <charset val="128"/>
          </rPr>
          <t>ボーメから日本酒度に切り替わった時（＝入力された日本酒度のうち、一番低い数字）のアルコール分及び日本酒度を元に、日本酒度が10切れるたびにアルコール分が1.8伸びると仮定し、入力した目標アルコール分になった時の日本酒度を予測しています。
この予測値と目標が大きく乖離している場合は、右の欄に簡潔な診断結果が表示されますので、それに基づき対応を検討してください。
なお留意点として</t>
        </r>
        <r>
          <rPr>
            <u/>
            <sz val="9"/>
            <color indexed="81"/>
            <rFont val="MS P ゴシック"/>
            <family val="3"/>
            <charset val="128"/>
          </rPr>
          <t>、日本酒度に切り替わった日にアルコール分が入力されていない場合は、予測値は表示されません</t>
        </r>
        <r>
          <rPr>
            <sz val="9"/>
            <color indexed="81"/>
            <rFont val="MS P ゴシック"/>
            <family val="3"/>
            <charset val="128"/>
          </rPr>
          <t xml:space="preserve">、メーターに切り替わった日は日本酒度のみ測定、次の日には日本酒度とアルコール分両方を測定したという場合は、メーターに切り替わった日（アルコール分を測定していない日）の日本酒度を削除してください。
</t>
        </r>
      </text>
    </comment>
    <comment ref="A32" authorId="0" shapeId="0" xr:uid="{00000000-0006-0000-0300-000012000000}">
      <text>
        <r>
          <rPr>
            <sz val="9"/>
            <color indexed="81"/>
            <rFont val="MS P ゴシック"/>
            <family val="3"/>
            <charset val="128"/>
          </rPr>
          <t>くみ水補正しない場合、発酵力～糖化力は、そのもろみの「現時点での状況」を示すことになります。現在のもろみがどうかということに主眼を置いた診断をする場合は、補正しない数値で判断してください。
他方、くみ水補正した発酵力～糖化力を、同じくくみ水補正した他（違う年度等）のもろみの発酵力～糖化力と比較することにより、使用した酒母の状況や米の溶け具合、麹の出来具合等を比較評価することができます。「昨年度と比べて（ないしは山田錦と●●の米を比べて）米の溶けはどうか」「酒母の作り方を変えたが、その評価はどうか」などといった、大きな視点で様々な情報を得るべく、他のもろみと比較しあう場合は、補正した数値で比較してください。</t>
        </r>
      </text>
    </comment>
    <comment ref="A33" authorId="0" shapeId="0" xr:uid="{00000000-0006-0000-0300-000013000000}">
      <text>
        <r>
          <rPr>
            <sz val="9"/>
            <color indexed="81"/>
            <rFont val="MS P ゴシック"/>
            <family val="3"/>
            <charset val="128"/>
          </rPr>
          <t>原エキスをくみ水歩合100％に割り戻すことにより、米の品種間及び収穫年度間の米の溶け具合を醪日数毎に比較することができるようになります。</t>
        </r>
      </text>
    </comment>
    <comment ref="AP33" authorId="0" shapeId="0" xr:uid="{00000000-0006-0000-0300-000014000000}">
      <text>
        <r>
          <rPr>
            <sz val="9"/>
            <color indexed="81"/>
            <rFont val="MS P ゴシック"/>
            <family val="3"/>
            <charset val="128"/>
          </rPr>
          <t>ボーメから日本酒度に切り替わった時（＝入力された日本酒度のうち、一番低い数字）のアルコール分及び日本酒度を元に、日本酒度が10切れるたびにアルコール分が1.8伸びると仮定し、入力した目標日本酒度になった時のアルコール分（度）を予測しています。
この予測値と目標が大きく乖離している場合は、右の欄に簡潔な診断結果が表示されますので、それに基づき対応を検討してください。
なお留意点として、</t>
        </r>
        <r>
          <rPr>
            <u/>
            <sz val="9"/>
            <color indexed="81"/>
            <rFont val="MS P ゴシック"/>
            <family val="3"/>
            <charset val="128"/>
          </rPr>
          <t>日本酒度に切り替わった日にアルコール分が入力されていない場合は、予測値は表示されません</t>
        </r>
        <r>
          <rPr>
            <sz val="9"/>
            <color indexed="81"/>
            <rFont val="MS P ゴシック"/>
            <family val="3"/>
            <charset val="128"/>
          </rPr>
          <t>、メーターに切り替わった日は日本酒度のみ測定、次の日には日本酒度とアルコール分両方を測定したという場合は、メーターに切り替わった日（アルコール分を測定していない日）の日本酒度を削除してください。</t>
        </r>
      </text>
    </comment>
    <comment ref="C36" authorId="0" shapeId="0" xr:uid="{00000000-0006-0000-0300-000015000000}">
      <text>
        <r>
          <rPr>
            <sz val="9"/>
            <color indexed="81"/>
            <rFont val="MS P ゴシック"/>
            <family val="3"/>
            <charset val="128"/>
          </rPr>
          <t>もろみ歩合や白米歩合を算出するためには、親容器の数量（L)を入力する必要があります。</t>
        </r>
      </text>
    </comment>
    <comment ref="C39" authorId="0" shapeId="0" xr:uid="{00000000-0006-0000-0300-000016000000}">
      <text>
        <r>
          <rPr>
            <sz val="9"/>
            <color indexed="81"/>
            <rFont val="MS P ゴシック"/>
            <family val="3"/>
            <charset val="128"/>
          </rPr>
          <t>もろみ歩合や白米歩合の算出にあたっては、枝容器の数量（L)も合算されます。</t>
        </r>
      </text>
    </comment>
    <comment ref="C42" authorId="0" shapeId="0" xr:uid="{00000000-0006-0000-0300-000017000000}">
      <text>
        <r>
          <rPr>
            <sz val="9"/>
            <color indexed="81"/>
            <rFont val="MS P ゴシック"/>
            <family val="3"/>
            <charset val="128"/>
          </rPr>
          <t>もろみ歩合や白米歩合の算出にあたっては、枝容器の数量（L)も合算されます。</t>
        </r>
      </text>
    </comment>
    <comment ref="A43" authorId="0" shapeId="0" xr:uid="{00000000-0006-0000-0300-000018000000}">
      <text>
        <r>
          <rPr>
            <sz val="9"/>
            <color indexed="81"/>
            <rFont val="MS P ゴシック"/>
            <family val="3"/>
            <charset val="128"/>
          </rPr>
          <t>親容器の数量（L)と仕込配合の総米を入力すると計算されます。
枝容器の数量は親容器の数量に合算されます。</t>
        </r>
      </text>
    </comment>
    <comment ref="S43" authorId="0" shapeId="0" xr:uid="{00000000-0006-0000-0300-000019000000}">
      <text>
        <r>
          <rPr>
            <sz val="11"/>
            <color indexed="81"/>
            <rFont val="ＭＳ Ｐゴシック"/>
            <family val="3"/>
            <charset val="128"/>
          </rPr>
          <t>原料白米合計に対する酒母白米合計の割合。通常６～８％で、量を減らして前緩にする方法もありますが、健全な発酵の観点からはお勧めできません。</t>
        </r>
      </text>
    </comment>
    <comment ref="AK43" authorId="0" shapeId="0" xr:uid="{00000000-0006-0000-0300-00001A000000}">
      <text>
        <r>
          <rPr>
            <sz val="11"/>
            <color indexed="81"/>
            <rFont val="ＭＳ Ｐゴシック"/>
            <family val="3"/>
            <charset val="128"/>
          </rPr>
          <t>新甘辛度の各区分が0.8で区切られていることに鑑み、目標値よりも±0.4以下である場合を「概ね目標通り」とし、それ以外については目標よりも「甘口」「やや甘口」「やや辛口」「辛口」としています。</t>
        </r>
      </text>
    </comment>
    <comment ref="A44" authorId="0" shapeId="0" xr:uid="{00000000-0006-0000-0300-00001B000000}">
      <text>
        <r>
          <rPr>
            <sz val="9"/>
            <color indexed="81"/>
            <rFont val="ＭＳ Ｐゴシック"/>
            <family val="3"/>
            <charset val="128"/>
          </rPr>
          <t>初添まで、仲添まで、留添までの白米使用量と仕込水使用量を基に算出された歩合です。</t>
        </r>
      </text>
    </comment>
    <comment ref="S44" authorId="0" shapeId="0" xr:uid="{00000000-0006-0000-0300-00001C000000}">
      <text>
        <r>
          <rPr>
            <sz val="11"/>
            <color indexed="81"/>
            <rFont val="ＭＳ Ｐゴシック"/>
            <family val="3"/>
            <charset val="128"/>
          </rPr>
          <t>原料白米合計に対する麹（白米換算重量）合計の割合。通常22～23％で、低温長期にする場合は20～22％にします。味を乗せたいときは多めにしますが、麹の精米歩合や力価にも拠りますので、一概には言えません。</t>
        </r>
      </text>
    </comment>
    <comment ref="AK44" authorId="0" shapeId="0" xr:uid="{00000000-0006-0000-0300-00001D000000}">
      <text>
        <r>
          <rPr>
            <sz val="11"/>
            <color indexed="81"/>
            <rFont val="ＭＳ Ｐゴシック"/>
            <family val="3"/>
            <charset val="128"/>
          </rPr>
          <t>濃淡指数の各区分が1.5で区切られていることに鑑み、目標値よりも±0.75以下である場合を「概ね目標通り」とし、それ以外については目標よりも「軽快」「やや軽快」「やや濃醇」「濃醇」としています。</t>
        </r>
      </text>
    </comment>
    <comment ref="S45" authorId="0" shapeId="0" xr:uid="{00000000-0006-0000-0300-00001E000000}">
      <text>
        <r>
          <rPr>
            <sz val="11"/>
            <color indexed="81"/>
            <rFont val="ＭＳ Ｐゴシック"/>
            <family val="3"/>
            <charset val="128"/>
          </rPr>
          <t>原料白米合計に対するくみ水合計の割合。
通常は留添までの総米（三段総米）の重量に対するくみ水量の割合をいうので、ここではその数値を出しています。</t>
        </r>
      </text>
    </comment>
    <comment ref="AK45" authorId="0" shapeId="0" xr:uid="{00000000-0006-0000-0300-00001F000000}">
      <text>
        <r>
          <rPr>
            <sz val="11"/>
            <color indexed="81"/>
            <rFont val="ＭＳ Ｐゴシック"/>
            <family val="3"/>
            <charset val="128"/>
          </rPr>
          <t>シブ予測係数比の各区分が0.5で区切られていることに鑑み、目標値よりも±0.25以下である場合を「概ね目標通り」とし、それ以外については目標よりも「キレがある」「ややキレがある」「やややわらかい」「やわらかい」としています。</t>
        </r>
      </text>
    </comment>
    <comment ref="AO45" authorId="0" shapeId="0" xr:uid="{00000000-0006-0000-0300-000020000000}">
      <text>
        <r>
          <rPr>
            <sz val="9"/>
            <color indexed="81"/>
            <rFont val="MS P ゴシック"/>
            <family val="3"/>
            <charset val="128"/>
          </rPr>
          <t>新甘辛度～グルコース比は、それらに用いる項目（酸度、アミノ酸度、グルコース、アルコール分）それぞれを最後に測定した（経過簿に数値を最後に入力した）値を用いて算出します。
従って、結果として、それぞれの項目で、違うもろみ日数の値を採用して算出されることがあることを予めご承知おきください。
（例えばアルコールとグルコースは〇日目の値を採用したが、酸度等その他の項目は●日目の値を採用して各種項目を算出することなどが生じます）</t>
        </r>
      </text>
    </comment>
    <comment ref="S74" authorId="0" shapeId="0" xr:uid="{00000000-0006-0000-0300-000021000000}">
      <text>
        <r>
          <rPr>
            <sz val="9"/>
            <color indexed="81"/>
            <rFont val="MS P ゴシック"/>
            <family val="3"/>
            <charset val="128"/>
          </rPr>
          <t>もろみ経過簿に入力した追水量（L)の合計が自動記入されます。</t>
        </r>
      </text>
    </comment>
    <comment ref="V77" authorId="0" shapeId="0" xr:uid="{00000000-0006-0000-0300-000022000000}">
      <text>
        <r>
          <rPr>
            <sz val="9"/>
            <color indexed="81"/>
            <rFont val="ＭＳ Ｐゴシック"/>
            <family val="3"/>
            <charset val="128"/>
          </rPr>
          <t>『アルコール添加』の「添加アルコール数量（L) 」と「添加アルコール分(度)」に入力した数値から算出された値が自動転記されるので入力不要です。</t>
        </r>
      </text>
    </comment>
    <comment ref="H87" authorId="0" shapeId="0" xr:uid="{00000000-0006-0000-0300-000023000000}">
      <text>
        <r>
          <rPr>
            <sz val="9"/>
            <color indexed="81"/>
            <rFont val="MS P ゴシック"/>
            <family val="3"/>
            <charset val="128"/>
          </rPr>
          <t>便宜上、くみ水総量（追水や四段の水を含んだ量）から算出しています。</t>
        </r>
      </text>
    </comment>
    <comment ref="AN112" authorId="0" shapeId="0" xr:uid="{2BC306CF-7956-48EA-9D15-E9A950EF6164}">
      <text>
        <r>
          <rPr>
            <sz val="9"/>
            <color indexed="81"/>
            <rFont val="MS P ゴシック"/>
            <family val="3"/>
            <charset val="128"/>
          </rPr>
          <t>かすの実重量を直接測定した場合は入力不要です。</t>
        </r>
      </text>
    </comment>
    <comment ref="AN114" authorId="0" shapeId="0" xr:uid="{F1536AEF-FF03-4BB3-9722-4B2D6A90B6A6}">
      <text>
        <r>
          <rPr>
            <sz val="9"/>
            <color indexed="81"/>
            <rFont val="MS P ゴシック"/>
            <family val="3"/>
            <charset val="128"/>
          </rPr>
          <t>通常は1.1を使用します。
1.1とする場合においては、入力不要です。</t>
        </r>
      </text>
    </comment>
    <comment ref="AN115" authorId="0" shapeId="0" xr:uid="{D92B3612-8571-4392-AB9E-771700907817}">
      <text>
        <r>
          <rPr>
            <sz val="9"/>
            <color indexed="81"/>
            <rFont val="MS P ゴシック"/>
            <family val="3"/>
            <charset val="128"/>
          </rPr>
          <t>かす換算率に数字が入力されていない場合は、かす換算率を1.1として算出します。</t>
        </r>
      </text>
    </comment>
    <comment ref="AN117" authorId="0" shapeId="0" xr:uid="{36ECBCB2-DBF9-4AC2-BB49-D94215451C8C}">
      <text>
        <r>
          <rPr>
            <sz val="11"/>
            <color indexed="81"/>
            <rFont val="ＭＳ Ｐゴシック"/>
            <family val="3"/>
            <charset val="128"/>
          </rPr>
          <t>留仕込直後に、白米が占めるもろみ数量の割合をいい、留即時歩合ともいいます。
（留即時もろみL－くみ水L）／白米kg
仕込配合以外に、親容器の留添時の数量を入力する必要があります。</t>
        </r>
      </text>
    </comment>
    <comment ref="AT117" authorId="0" shapeId="0" xr:uid="{870971AF-3F71-48BB-92C2-977A6360E047}">
      <text>
        <r>
          <rPr>
            <sz val="11"/>
            <color indexed="81"/>
            <rFont val="ＭＳ Ｐゴシック"/>
            <family val="3"/>
            <charset val="128"/>
          </rPr>
          <t>原料の白米重量に対するかす重量の割合
仕込配合以外に、かすの表に数字を入力する必要があります。</t>
        </r>
      </text>
    </comment>
    <comment ref="AN118" authorId="0" shapeId="0" xr:uid="{DCD29ECA-F4DB-499D-9B28-4A805026F2AE}">
      <text>
        <r>
          <rPr>
            <sz val="11"/>
            <color indexed="81"/>
            <rFont val="ＭＳ Ｐゴシック"/>
            <family val="3"/>
            <charset val="128"/>
          </rPr>
          <t>白米100kgあたりもろみ数量が何Lになるかを表す歩合。
もろみL／白米kg
仕込配合以外に、もろみ上槽直前の表に数量を入力する必要があります。</t>
        </r>
      </text>
    </comment>
    <comment ref="AT118" authorId="0" shapeId="0" xr:uid="{FC9B4D89-136A-4703-8817-16F7D6F592BB}">
      <text>
        <r>
          <rPr>
            <sz val="11"/>
            <color indexed="81"/>
            <rFont val="ＭＳ Ｐゴシック"/>
            <family val="3"/>
            <charset val="128"/>
          </rPr>
          <t>上槽前のもろみにおいて、原料白米100kgが何Lになったかを表す歩合。
（上槽前もろみL－くみ水L－添加アルコールL－原料清酒L－原料かす換算L）／白米kg
ここでは原料清酒、原料かすは使用していないものとしています。
仕込配合以外に、もろみ上槽直前の表・アルコール添加の表に数量を入力する必要があります。</t>
        </r>
      </text>
    </comment>
    <comment ref="AN119" authorId="0" shapeId="0" xr:uid="{25E7D567-1B08-49F2-B28F-2CB1CB6CE2DC}">
      <text>
        <r>
          <rPr>
            <sz val="11"/>
            <color indexed="81"/>
            <rFont val="ＭＳ Ｐゴシック"/>
            <family val="3"/>
            <charset val="128"/>
          </rPr>
          <t>原料として使用した清酒を差し引いて、もろみ100Lから得られた清酒のL数を表す歩合。
（清酒L－原料清酒L）/（上槽前もろみL－原料清酒L）
ここでは原料清酒は使用していないものとしています。
製成事績の表、及びもろみ上槽直前の表に数量を入力する必要があります。</t>
        </r>
      </text>
    </comment>
    <comment ref="AT119" authorId="0" shapeId="0" xr:uid="{93BBEADC-D34D-45DD-8BD1-05E0B444C631}">
      <text>
        <r>
          <rPr>
            <sz val="11"/>
            <color indexed="81"/>
            <rFont val="ＭＳ Ｐゴシック"/>
            <family val="3"/>
            <charset val="128"/>
          </rPr>
          <t>もろみ中の純アルコールが、上槽後にどれほど清酒中の純アルコールとして得られたかを示す歩合
（清酒純アルコールL－原料清酒純アルコールL）／（上槽前純アルコールL－原料清酒純アルコールL）
ここでは原料清酒は使用していないものとしています。
もろみ上槽直前の表及び製成事績の表に数量及びアルコール度を入力する必要があります。</t>
        </r>
      </text>
    </comment>
    <comment ref="AN120" authorId="0" shapeId="0" xr:uid="{3AE8EA5A-1EE9-4EB4-895E-0B689CD19900}">
      <text>
        <r>
          <rPr>
            <sz val="11"/>
            <color indexed="81"/>
            <rFont val="ＭＳ Ｐゴシック"/>
            <family val="3"/>
            <charset val="128"/>
          </rPr>
          <t>原料白米100kgから製成した清酒Lの割合
（清酒L－原料清酒L）／白米kg
ここでは原料清酒は使用していないものとしています。
仕込配合以外に、製成事績の表に数量を入力する必要があります。</t>
        </r>
      </text>
    </comment>
    <comment ref="AT120" authorId="0" shapeId="0" xr:uid="{73E415ED-EA47-4D83-8D1D-0A4C1A7713FC}">
      <text>
        <r>
          <rPr>
            <sz val="11"/>
            <color indexed="81"/>
            <rFont val="ＭＳ Ｐゴシック"/>
            <family val="3"/>
            <charset val="128"/>
          </rPr>
          <t>原料白米だけ（くみ水などを除く）から製成された清酒の割合
（清酒L－くみ水L－アルコールL－原料清酒L）／白米kg
ここでは原料清酒は使用していないものとしています。
仕込配合以外に、アルコール添加の表及び製成事績の表に数量を入力する必要があります。</t>
        </r>
      </text>
    </comment>
    <comment ref="F121" authorId="0" shapeId="0" xr:uid="{196C123F-886C-47A9-86FF-8C54A51BB63F}">
      <text>
        <r>
          <rPr>
            <sz val="9"/>
            <color indexed="81"/>
            <rFont val="MS P ゴシック"/>
            <family val="3"/>
            <charset val="128"/>
          </rPr>
          <t>くみ水100％に補正した原エキスで、この数値を他のもろみの数値と比較することにより、米の溶け具合が比較できます。</t>
        </r>
      </text>
    </comment>
    <comment ref="AN121" authorId="0" shapeId="0" xr:uid="{880C4491-02A9-47D1-9504-BEC23854B9A9}">
      <text>
        <r>
          <rPr>
            <sz val="11"/>
            <color indexed="81"/>
            <rFont val="ＭＳ Ｐゴシック"/>
            <family val="3"/>
            <charset val="128"/>
          </rPr>
          <t>原料白米合計に対するくみ水合計の割合。
通常は留添までの総米（三段総米）の重量に対するくみ水量の割合をいいますが、ここではすべての総米とくみ水から計算しています。
教科書には120～130％と書いてありますが、吟醸酒（高精白）だと140％以上、追水入れて150%以上でも構いません。原エキスやA-B直線から判断しましょう。</t>
        </r>
      </text>
    </comment>
    <comment ref="AT121" authorId="0" shapeId="0" xr:uid="{889BD975-C2B9-4920-A26D-6CABD9CFA147}">
      <text>
        <r>
          <rPr>
            <sz val="11"/>
            <color indexed="81"/>
            <rFont val="ＭＳ Ｐゴシック"/>
            <family val="3"/>
            <charset val="128"/>
          </rPr>
          <t>原料白米に対する、上槽までにもろみに使われた水や添加した液体（原料アルコールや原料清酒）の総体積の割合。アル添していない場合は、くみ水歩合と同じ値になります。
（くみ水L＋原料アルコールL＋原料清酒L）／白米kg
ここでは原料清酒は使用していないものとしています。</t>
        </r>
      </text>
    </comment>
    <comment ref="T189" authorId="0" shapeId="0" xr:uid="{00000000-0006-0000-0300-000032000000}">
      <text>
        <r>
          <rPr>
            <sz val="11"/>
            <color indexed="81"/>
            <rFont val="ＭＳ Ｐゴシック"/>
            <family val="3"/>
            <charset val="128"/>
          </rPr>
          <t>新甘辛度の各区分が0.8で区切られていることに鑑み、目標値よりも±0.4以下である場合を「概ね目標通り」とし、それ以外については目標よりも「甘口」「やや甘口」「やや辛口」「辛口」としています。</t>
        </r>
      </text>
    </comment>
    <comment ref="AD189" authorId="0" shapeId="0" xr:uid="{00000000-0006-0000-0300-000033000000}">
      <text>
        <r>
          <rPr>
            <sz val="11"/>
            <color indexed="81"/>
            <rFont val="ＭＳ Ｐゴシック"/>
            <family val="3"/>
            <charset val="128"/>
          </rPr>
          <t>新甘辛度の各区分が0.8で区切られていることに鑑み、目標値よりも±0.4以下である場合を「概ね目標通り」とし、それ以外については目標よりも「甘口」「やや甘口」「やや辛口」「辛口」としています。</t>
        </r>
      </text>
    </comment>
    <comment ref="T190" authorId="0" shapeId="0" xr:uid="{00000000-0006-0000-0300-000034000000}">
      <text>
        <r>
          <rPr>
            <sz val="11"/>
            <color indexed="81"/>
            <rFont val="ＭＳ Ｐゴシック"/>
            <family val="3"/>
            <charset val="128"/>
          </rPr>
          <t>濃淡指数の各区分が1.5で区切られていることに鑑み、目標値よりも±0.75以下である場合を「概ね目標通り」とし、それ以外については目標よりも「軽快」「やや軽快」「やや濃醇」「濃醇」としています。</t>
        </r>
      </text>
    </comment>
    <comment ref="AD190" authorId="0" shapeId="0" xr:uid="{00000000-0006-0000-0300-000035000000}">
      <text>
        <r>
          <rPr>
            <sz val="11"/>
            <color indexed="81"/>
            <rFont val="ＭＳ Ｐゴシック"/>
            <family val="3"/>
            <charset val="128"/>
          </rPr>
          <t>新甘辛度の各区分が0.8で区切られていることに鑑み、目標値よりも±0.4以下である場合を「概ね目標通り」とし、それ以外については目標よりも「甘口」「やや甘口」「やや辛口」「辛口」としています。</t>
        </r>
      </text>
    </comment>
    <comment ref="T191" authorId="0" shapeId="0" xr:uid="{00000000-0006-0000-0300-000036000000}">
      <text>
        <r>
          <rPr>
            <sz val="11"/>
            <color indexed="81"/>
            <rFont val="ＭＳ Ｐゴシック"/>
            <family val="3"/>
            <charset val="128"/>
          </rPr>
          <t>シブ予測係数比の各区分が0.5で区切られていることに鑑み、目標値よりも±0.25以下である場合を「概ね目標通り」とし、それ以外については目標よりも「キレがある」「ややキレがある」「やややわらかい」「やわらかい」としています。</t>
        </r>
      </text>
    </comment>
    <comment ref="F194" authorId="0" shapeId="0" xr:uid="{00000000-0006-0000-0300-000037000000}">
      <text>
        <r>
          <rPr>
            <sz val="11"/>
            <color indexed="81"/>
            <rFont val="ＭＳ Ｐゴシック"/>
            <family val="3"/>
            <charset val="128"/>
          </rPr>
          <t>エキス分が1.5848消費された時に、アルコール分が１度出るということに鑑み、原エキスが目標値よりも±２である（アルコール分で目標よりも１度以上のズレが生じることになる）場合に「目標よりも溶けなかった」ないしは「目標よりも溶けた」と判定することとしています。ただし、理想とするA-B直線の時の原エキス分とも比較して総合判断する必要があることにも留意してください。
また、原エキスは（上槽直前ではなく）もろみ初期において溶けが進んでいるか否かの判断にも使用できます（例えば５～10日の原エキスの伸びが悪い場合は、酵素剤を打つとかの対応ができる。酵素剤はアルコール分が低いときのほうが効果が高い！）。従って、出来れば５日目くらいからはアルコールと比重（ボーメ）を測定することをお勧めします。</t>
        </r>
      </text>
    </comment>
    <comment ref="H212" authorId="0" shapeId="0" xr:uid="{F8CA5DB7-3B82-42D4-A4E4-7E92847081FF}">
      <text>
        <r>
          <rPr>
            <sz val="9"/>
            <color indexed="81"/>
            <rFont val="MS P ゴシック"/>
            <family val="3"/>
            <charset val="128"/>
          </rPr>
          <t>現時点では、四段の数値は100％への追水補正の対象となっていません。ご了承ください。</t>
        </r>
      </text>
    </comment>
    <comment ref="I216" authorId="0" shapeId="0" xr:uid="{7C26B6E7-BE24-4DA6-A690-FCC9B494C202}">
      <text>
        <r>
          <rPr>
            <sz val="9"/>
            <color indexed="81"/>
            <rFont val="MS P ゴシック"/>
            <family val="3"/>
            <charset val="128"/>
          </rPr>
          <t>もろみ経過簿に入力した追水量（L)の合計が自動記入されます。</t>
        </r>
      </text>
    </comment>
    <comment ref="A219" authorId="0" shapeId="0" xr:uid="{59BCFF66-5CBE-4834-BB2C-777C614073B8}">
      <text>
        <r>
          <rPr>
            <sz val="9"/>
            <color indexed="81"/>
            <rFont val="MS P ゴシック"/>
            <family val="3"/>
            <charset val="128"/>
          </rPr>
          <t>追水量をL単位で記入してください。
ここに入れた数値の合計が仕込配合の追水量として自動転記されるほか、発酵力・液化力・糖化力のくみ水100％換算指標の計算にも用いられます。
なお、追水作業においては通常、分析を行った後に追水をし、次の日になって改めて分析する（つまり追水後は、すぐには分析しない）というのが一般的だと考えられるところ、追水量の補正は次の日からかかるようになっています。逆に、仮に追水をした後に（その日中に）分析をしたとしても、分析値は本もろみ経過簿には入力しないか、するとしても次の日にところに入力してください。
また、追水作業を10回超行った場合、</t>
        </r>
        <r>
          <rPr>
            <u/>
            <sz val="9"/>
            <color indexed="81"/>
            <rFont val="MS P ゴシック"/>
            <family val="3"/>
            <charset val="128"/>
          </rPr>
          <t>10回超分については発酵力・液化力・糖化力のくみ水100％換算指標の計算に用いられません</t>
        </r>
        <r>
          <rPr>
            <sz val="9"/>
            <color indexed="81"/>
            <rFont val="MS P ゴシック"/>
            <family val="3"/>
            <charset val="128"/>
          </rPr>
          <t>ので御留意ください。</t>
        </r>
      </text>
    </comment>
    <comment ref="A220" authorId="0" shapeId="0" xr:uid="{F47452A5-F201-4086-AAEA-AD40451E221E}">
      <text>
        <r>
          <rPr>
            <sz val="9"/>
            <color indexed="81"/>
            <rFont val="MS P ゴシック"/>
            <family val="3"/>
            <charset val="128"/>
          </rPr>
          <t>目標値を超えた場合、セルがピンクに着色されます。A-B直線や液化力・発酵力を見ながら、必要に応じ追水を行ってください。</t>
        </r>
      </text>
    </comment>
    <comment ref="C220" authorId="0" shapeId="0" xr:uid="{66136BDF-5A7F-47EE-9F4A-72C5C173102B}">
      <text>
        <r>
          <rPr>
            <sz val="9"/>
            <color indexed="81"/>
            <rFont val="MS P ゴシック"/>
            <family val="3"/>
            <charset val="128"/>
          </rPr>
          <t>ボーメと日本酒度両方を入力した場合、ボーメの値が優先されます。</t>
        </r>
      </text>
    </comment>
    <comment ref="A221" authorId="0" shapeId="0" xr:uid="{2B8353DC-5C14-4597-B079-009FFC965283}">
      <text>
        <r>
          <rPr>
            <sz val="9"/>
            <color indexed="81"/>
            <rFont val="MS P ゴシック"/>
            <family val="3"/>
            <charset val="128"/>
          </rPr>
          <t>目標値を超えた場合、セルがピンクに着色されます。アルコール度数や発酵力、液化力等を考慮しつつ、上槽について検討してください。</t>
        </r>
      </text>
    </comment>
    <comment ref="A222" authorId="0" shapeId="0" xr:uid="{9019A739-E697-45CB-BF44-7F2705001E0F}">
      <text>
        <r>
          <rPr>
            <sz val="9"/>
            <color indexed="81"/>
            <rFont val="MS P ゴシック"/>
            <family val="3"/>
            <charset val="128"/>
          </rPr>
          <t>目標値を超えた場合、セルがピンクに着色されます。目標値を大きく超えた場合は、追水や四段等によって薄める、アル添量を減らすのも一法です。</t>
        </r>
      </text>
    </comment>
    <comment ref="A227" authorId="0" shapeId="0" xr:uid="{692EB990-6BF2-4005-A795-EBE02A194031}">
      <text>
        <r>
          <rPr>
            <sz val="9"/>
            <color indexed="81"/>
            <rFont val="MS P ゴシック"/>
            <family val="3"/>
            <charset val="128"/>
          </rPr>
          <t>追水量をL単位で記入してください。
ここに入れた数値の合計が仕込配合の追水量として自動転記されるほか、発酵力・液化力・糖化力のくみ水100％換算指標の計算にも用いられます。
なお、追水作業においては通常、分析を行った後に追水をし、次の日になって改めて分析する（つまり追水後は、すぐには分析しない）というのが一般的だと考えられるところ、追水量の補正は次の日からかかるようになっています。逆に、仮に追水をした後に（その日中に）分析をしたとしても、分析値は本もろみ経過簿には入力しないか、するとしても次の日にところに入力してください。
また、追水作業を10回超行った場合、</t>
        </r>
        <r>
          <rPr>
            <u/>
            <sz val="9"/>
            <color indexed="81"/>
            <rFont val="MS P ゴシック"/>
            <family val="3"/>
            <charset val="128"/>
          </rPr>
          <t>10回超分については発酵力・液化力・糖化力のくみ水100％換算指標の計算に用いられません</t>
        </r>
        <r>
          <rPr>
            <sz val="9"/>
            <color indexed="81"/>
            <rFont val="MS P ゴシック"/>
            <family val="3"/>
            <charset val="128"/>
          </rPr>
          <t>ので御留意ください。</t>
        </r>
      </text>
    </comment>
    <comment ref="AR252" authorId="0" shapeId="0" xr:uid="{4C514DB8-D505-4F83-9CB1-DC0A387638F2}">
      <text>
        <r>
          <rPr>
            <b/>
            <sz val="9"/>
            <color indexed="81"/>
            <rFont val="MS P ゴシック"/>
            <family val="3"/>
            <charset val="128"/>
          </rPr>
          <t>同一区分で複数の異なる白米水分がある阿合は正しく計算されません。</t>
        </r>
      </text>
    </comment>
    <comment ref="AR253" authorId="0" shapeId="0" xr:uid="{8588B5E8-E1AD-4596-A17E-40EAE21E2F6E}">
      <text>
        <r>
          <rPr>
            <b/>
            <sz val="9"/>
            <color indexed="81"/>
            <rFont val="MS P ゴシック"/>
            <family val="3"/>
            <charset val="128"/>
          </rPr>
          <t>同一区分で複数の異なる白米水分がある阿合は正しく計算されません。</t>
        </r>
      </text>
    </comment>
    <comment ref="AR254" authorId="0" shapeId="0" xr:uid="{548E8009-AF84-4A49-A29A-BDADCA090995}">
      <text>
        <r>
          <rPr>
            <b/>
            <sz val="9"/>
            <color indexed="81"/>
            <rFont val="MS P ゴシック"/>
            <family val="3"/>
            <charset val="128"/>
          </rPr>
          <t>同一区分で複数の異なる白米水分がある阿合は正しく計算されません。</t>
        </r>
      </text>
    </comment>
    <comment ref="AR255" authorId="0" shapeId="0" xr:uid="{0AB3B502-002C-40BE-8EC3-34F4C98D5C9D}">
      <text>
        <r>
          <rPr>
            <b/>
            <sz val="9"/>
            <color indexed="81"/>
            <rFont val="MS P ゴシック"/>
            <family val="3"/>
            <charset val="128"/>
          </rPr>
          <t>同一区分で複数の異なる白米水分がある阿合は正しく計算されません。</t>
        </r>
      </text>
    </comment>
    <comment ref="AR256" authorId="0" shapeId="0" xr:uid="{91DB477F-8FE9-4991-B0F2-79CE6284AE90}">
      <text>
        <r>
          <rPr>
            <sz val="9"/>
            <color indexed="81"/>
            <rFont val="MS P ゴシック"/>
            <family val="3"/>
            <charset val="128"/>
          </rPr>
          <t>同一区分で複数の異なる白米水分がある阿合は正しく計算されません。</t>
        </r>
      </text>
    </comment>
    <comment ref="AR257" authorId="0" shapeId="0" xr:uid="{EF4C73ED-1ECD-472E-B73B-4002FB29B95C}">
      <text>
        <r>
          <rPr>
            <sz val="9"/>
            <color indexed="81"/>
            <rFont val="MS P ゴシック"/>
            <family val="3"/>
            <charset val="128"/>
          </rPr>
          <t>同一区分で複数の異なる白米水分がある阿合は正しく計算されません。</t>
        </r>
      </text>
    </comment>
    <comment ref="AR258" authorId="0" shapeId="0" xr:uid="{7C98372A-B9D6-41B5-8344-9CFBA31551C1}">
      <text>
        <r>
          <rPr>
            <sz val="9"/>
            <color indexed="81"/>
            <rFont val="MS P ゴシック"/>
            <family val="3"/>
            <charset val="128"/>
          </rPr>
          <t>同一区分で複数の異なる白米水分がある阿合は正しく計算されません。</t>
        </r>
      </text>
    </comment>
    <comment ref="AR259" authorId="0" shapeId="0" xr:uid="{A7C968E9-4716-4211-984D-CECB83C177E0}">
      <text>
        <r>
          <rPr>
            <sz val="9"/>
            <color indexed="81"/>
            <rFont val="MS P ゴシック"/>
            <family val="3"/>
            <charset val="128"/>
          </rPr>
          <t>同一区分で複数の異なる白米水分がある阿合は正しく計算されません。</t>
        </r>
      </text>
    </comment>
  </commentList>
</comments>
</file>

<file path=xl/sharedStrings.xml><?xml version="1.0" encoding="utf-8"?>
<sst xmlns="http://schemas.openxmlformats.org/spreadsheetml/2006/main" count="584" uniqueCount="376">
  <si>
    <t>酸度</t>
    <rPh sb="0" eb="2">
      <t>サンド</t>
    </rPh>
    <phoneticPr fontId="1"/>
  </si>
  <si>
    <t>ボーメ</t>
    <phoneticPr fontId="1"/>
  </si>
  <si>
    <t>日本酒度</t>
    <rPh sb="0" eb="3">
      <t>ニホンシュ</t>
    </rPh>
    <rPh sb="3" eb="4">
      <t>ド</t>
    </rPh>
    <phoneticPr fontId="1"/>
  </si>
  <si>
    <t>エキス分</t>
    <rPh sb="3" eb="4">
      <t>ブン</t>
    </rPh>
    <phoneticPr fontId="1"/>
  </si>
  <si>
    <t>新甘辛度</t>
    <rPh sb="0" eb="1">
      <t>シン</t>
    </rPh>
    <rPh sb="1" eb="3">
      <t>アマカラ</t>
    </rPh>
    <rPh sb="3" eb="4">
      <t>ド</t>
    </rPh>
    <phoneticPr fontId="1"/>
  </si>
  <si>
    <t>目標値</t>
    <rPh sb="0" eb="3">
      <t>モクヒョウチ</t>
    </rPh>
    <phoneticPr fontId="1"/>
  </si>
  <si>
    <t>A（AB直線）</t>
    <rPh sb="4" eb="6">
      <t>チョクセン</t>
    </rPh>
    <phoneticPr fontId="1"/>
  </si>
  <si>
    <t>B（AB直線）</t>
    <rPh sb="4" eb="6">
      <t>チョクセン</t>
    </rPh>
    <phoneticPr fontId="1"/>
  </si>
  <si>
    <t>A（AB直線２）</t>
    <rPh sb="4" eb="6">
      <t>チョクセン</t>
    </rPh>
    <phoneticPr fontId="1"/>
  </si>
  <si>
    <t>B（AB直線2）</t>
    <rPh sb="4" eb="6">
      <t>チョクセン</t>
    </rPh>
    <phoneticPr fontId="1"/>
  </si>
  <si>
    <t>仕込み号数</t>
    <rPh sb="0" eb="2">
      <t>シコ</t>
    </rPh>
    <rPh sb="3" eb="5">
      <t>ゴウスウ</t>
    </rPh>
    <phoneticPr fontId="1"/>
  </si>
  <si>
    <t>初添</t>
    <rPh sb="0" eb="1">
      <t>ハツ</t>
    </rPh>
    <rPh sb="1" eb="2">
      <t>ソ</t>
    </rPh>
    <phoneticPr fontId="1"/>
  </si>
  <si>
    <t>踊</t>
    <rPh sb="0" eb="1">
      <t>オド</t>
    </rPh>
    <phoneticPr fontId="1"/>
  </si>
  <si>
    <t>仲添</t>
    <rPh sb="0" eb="1">
      <t>ナカ</t>
    </rPh>
    <rPh sb="1" eb="2">
      <t>ソ</t>
    </rPh>
    <phoneticPr fontId="1"/>
  </si>
  <si>
    <t>日順</t>
    <rPh sb="0" eb="1">
      <t>ヒ</t>
    </rPh>
    <rPh sb="1" eb="2">
      <t>ジュン</t>
    </rPh>
    <phoneticPr fontId="1"/>
  </si>
  <si>
    <t>操作</t>
    <rPh sb="0" eb="2">
      <t>ソウサ</t>
    </rPh>
    <phoneticPr fontId="1"/>
  </si>
  <si>
    <t>月日</t>
    <rPh sb="0" eb="1">
      <t>ツキ</t>
    </rPh>
    <rPh sb="1" eb="2">
      <t>ヒ</t>
    </rPh>
    <phoneticPr fontId="1"/>
  </si>
  <si>
    <t>時刻</t>
    <rPh sb="0" eb="1">
      <t>トキ</t>
    </rPh>
    <rPh sb="1" eb="2">
      <t>コク</t>
    </rPh>
    <phoneticPr fontId="1"/>
  </si>
  <si>
    <t>留添</t>
    <rPh sb="0" eb="1">
      <t>トメ</t>
    </rPh>
    <rPh sb="1" eb="2">
      <t>テン</t>
    </rPh>
    <phoneticPr fontId="1"/>
  </si>
  <si>
    <t>水</t>
    <rPh sb="0" eb="1">
      <t>ミズ</t>
    </rPh>
    <phoneticPr fontId="1"/>
  </si>
  <si>
    <t>こうじ</t>
    <phoneticPr fontId="1"/>
  </si>
  <si>
    <t>仕込</t>
    <rPh sb="0" eb="2">
      <t>シコミ</t>
    </rPh>
    <phoneticPr fontId="1"/>
  </si>
  <si>
    <t>荒がい</t>
    <rPh sb="0" eb="1">
      <t>アラ</t>
    </rPh>
    <phoneticPr fontId="1"/>
  </si>
  <si>
    <t>分</t>
    <rPh sb="0" eb="1">
      <t>ワ</t>
    </rPh>
    <phoneticPr fontId="1"/>
  </si>
  <si>
    <t>状ぼう</t>
    <rPh sb="0" eb="1">
      <t>ジョウ</t>
    </rPh>
    <phoneticPr fontId="1"/>
  </si>
  <si>
    <t>アルコール分（度）</t>
    <rPh sb="5" eb="6">
      <t>ブン</t>
    </rPh>
    <rPh sb="7" eb="8">
      <t>ド</t>
    </rPh>
    <phoneticPr fontId="1"/>
  </si>
  <si>
    <t>Alc%（新）</t>
    <rPh sb="5" eb="6">
      <t>シン</t>
    </rPh>
    <phoneticPr fontId="3"/>
  </si>
  <si>
    <t>d15</t>
    <phoneticPr fontId="3"/>
  </si>
  <si>
    <t>slope</t>
    <phoneticPr fontId="3"/>
  </si>
  <si>
    <t>intercept</t>
    <phoneticPr fontId="3"/>
  </si>
  <si>
    <t>d(15/15)</t>
    <phoneticPr fontId="3"/>
  </si>
  <si>
    <t>使うのは比重の方のみ</t>
    <rPh sb="0" eb="1">
      <t>ツカ</t>
    </rPh>
    <rPh sb="4" eb="6">
      <t>ヒジュウ</t>
    </rPh>
    <rPh sb="7" eb="8">
      <t>ホウ</t>
    </rPh>
    <phoneticPr fontId="1"/>
  </si>
  <si>
    <t>日本酒度の比重換算</t>
    <rPh sb="0" eb="3">
      <t>ニホンシュ</t>
    </rPh>
    <rPh sb="3" eb="4">
      <t>ド</t>
    </rPh>
    <rPh sb="5" eb="7">
      <t>ヒジュウ</t>
    </rPh>
    <rPh sb="7" eb="9">
      <t>カンサン</t>
    </rPh>
    <phoneticPr fontId="1"/>
  </si>
  <si>
    <t>アルコール分の比重換算</t>
    <rPh sb="5" eb="6">
      <t>ブン</t>
    </rPh>
    <rPh sb="7" eb="9">
      <t>ヒジュウ</t>
    </rPh>
    <rPh sb="9" eb="11">
      <t>カンサン</t>
    </rPh>
    <phoneticPr fontId="1"/>
  </si>
  <si>
    <t>最高BMD目標</t>
    <rPh sb="0" eb="2">
      <t>サイコウ</t>
    </rPh>
    <rPh sb="5" eb="7">
      <t>モクヒョウ</t>
    </rPh>
    <phoneticPr fontId="1"/>
  </si>
  <si>
    <t>一番最後のグルコース濃度</t>
    <rPh sb="0" eb="2">
      <t>イチバン</t>
    </rPh>
    <rPh sb="2" eb="4">
      <t>サイゴ</t>
    </rPh>
    <rPh sb="10" eb="12">
      <t>ノウド</t>
    </rPh>
    <phoneticPr fontId="1"/>
  </si>
  <si>
    <t>一番最後の酸度</t>
    <rPh sb="0" eb="2">
      <t>イチバン</t>
    </rPh>
    <rPh sb="2" eb="4">
      <t>サイゴ</t>
    </rPh>
    <rPh sb="5" eb="7">
      <t>サンド</t>
    </rPh>
    <phoneticPr fontId="1"/>
  </si>
  <si>
    <t>一番最後のアルコール分</t>
    <rPh sb="0" eb="2">
      <t>イチバン</t>
    </rPh>
    <rPh sb="2" eb="4">
      <t>サイゴ</t>
    </rPh>
    <rPh sb="10" eb="11">
      <t>ブン</t>
    </rPh>
    <phoneticPr fontId="1"/>
  </si>
  <si>
    <t>一番最後のアミノ酸度</t>
    <rPh sb="0" eb="2">
      <t>イチバン</t>
    </rPh>
    <rPh sb="2" eb="4">
      <t>サイゴ</t>
    </rPh>
    <rPh sb="8" eb="9">
      <t>サン</t>
    </rPh>
    <rPh sb="9" eb="10">
      <t>ド</t>
    </rPh>
    <phoneticPr fontId="1"/>
  </si>
  <si>
    <t>原エキス直線１</t>
    <rPh sb="0" eb="1">
      <t>ゲン</t>
    </rPh>
    <rPh sb="4" eb="6">
      <t>チョクセン</t>
    </rPh>
    <phoneticPr fontId="1"/>
  </si>
  <si>
    <t>原エキス直線２</t>
    <rPh sb="0" eb="1">
      <t>ゲン</t>
    </rPh>
    <rPh sb="4" eb="6">
      <t>チョクセン</t>
    </rPh>
    <phoneticPr fontId="1"/>
  </si>
  <si>
    <t>日本酒度（自動計算）</t>
    <rPh sb="0" eb="3">
      <t>ニホンシュ</t>
    </rPh>
    <rPh sb="3" eb="4">
      <t>ド</t>
    </rPh>
    <rPh sb="5" eb="7">
      <t>ジドウ</t>
    </rPh>
    <rPh sb="7" eb="9">
      <t>ケイサン</t>
    </rPh>
    <phoneticPr fontId="1"/>
  </si>
  <si>
    <t>親容器</t>
    <rPh sb="0" eb="1">
      <t>オヤ</t>
    </rPh>
    <rPh sb="1" eb="3">
      <t>ヨウキ</t>
    </rPh>
    <phoneticPr fontId="1"/>
  </si>
  <si>
    <t>号</t>
    <rPh sb="0" eb="1">
      <t>ゴウ</t>
    </rPh>
    <phoneticPr fontId="1"/>
  </si>
  <si>
    <t>深</t>
    <rPh sb="0" eb="1">
      <t>フカ</t>
    </rPh>
    <phoneticPr fontId="1"/>
  </si>
  <si>
    <t>枝容器</t>
    <rPh sb="0" eb="1">
      <t>エダ</t>
    </rPh>
    <rPh sb="1" eb="3">
      <t>ヨウキ</t>
    </rPh>
    <phoneticPr fontId="1"/>
  </si>
  <si>
    <t>酒母</t>
    <rPh sb="0" eb="2">
      <t>シュボ</t>
    </rPh>
    <phoneticPr fontId="1"/>
  </si>
  <si>
    <t>留添</t>
    <rPh sb="0" eb="1">
      <t>トメ</t>
    </rPh>
    <rPh sb="1" eb="2">
      <t>ソ</t>
    </rPh>
    <phoneticPr fontId="1"/>
  </si>
  <si>
    <t>四段</t>
    <rPh sb="0" eb="2">
      <t>ヨダン</t>
    </rPh>
    <phoneticPr fontId="1"/>
  </si>
  <si>
    <t>こうじ米（Kg）</t>
    <rPh sb="3" eb="4">
      <t>コメ</t>
    </rPh>
    <phoneticPr fontId="1"/>
  </si>
  <si>
    <t>計</t>
    <rPh sb="0" eb="1">
      <t>ケイ</t>
    </rPh>
    <phoneticPr fontId="1"/>
  </si>
  <si>
    <t>追水合計</t>
    <rPh sb="0" eb="1">
      <t>オ</t>
    </rPh>
    <rPh sb="1" eb="2">
      <t>ミズ</t>
    </rPh>
    <rPh sb="2" eb="4">
      <t>ゴウケイ</t>
    </rPh>
    <phoneticPr fontId="1"/>
  </si>
  <si>
    <t>アルコール量</t>
    <rPh sb="5" eb="6">
      <t>リョウ</t>
    </rPh>
    <phoneticPr fontId="1"/>
  </si>
  <si>
    <t>酒母米</t>
    <rPh sb="0" eb="2">
      <t>シュボ</t>
    </rPh>
    <rPh sb="2" eb="3">
      <t>マイ</t>
    </rPh>
    <phoneticPr fontId="1"/>
  </si>
  <si>
    <t>こうじ米</t>
    <rPh sb="3" eb="4">
      <t>マイ</t>
    </rPh>
    <phoneticPr fontId="1"/>
  </si>
  <si>
    <t>掛米</t>
    <rPh sb="0" eb="1">
      <t>カケ</t>
    </rPh>
    <rPh sb="1" eb="2">
      <t>マイ</t>
    </rPh>
    <phoneticPr fontId="1"/>
  </si>
  <si>
    <t>精米歩合（％）</t>
    <rPh sb="0" eb="2">
      <t>セイマイ</t>
    </rPh>
    <rPh sb="2" eb="4">
      <t>ブアイ</t>
    </rPh>
    <phoneticPr fontId="1"/>
  </si>
  <si>
    <t>原エキス</t>
    <rPh sb="0" eb="1">
      <t>ゲン</t>
    </rPh>
    <phoneticPr fontId="1"/>
  </si>
  <si>
    <t>使用酵母</t>
    <rPh sb="0" eb="2">
      <t>シヨウ</t>
    </rPh>
    <rPh sb="2" eb="4">
      <t>コウボ</t>
    </rPh>
    <phoneticPr fontId="1"/>
  </si>
  <si>
    <t>経過簿</t>
    <rPh sb="0" eb="2">
      <t>ケイカ</t>
    </rPh>
    <rPh sb="2" eb="3">
      <t>ボ</t>
    </rPh>
    <phoneticPr fontId="1"/>
  </si>
  <si>
    <t>仕込配合</t>
    <rPh sb="0" eb="2">
      <t>シコミ</t>
    </rPh>
    <rPh sb="2" eb="4">
      <t>ハイゴウ</t>
    </rPh>
    <phoneticPr fontId="1"/>
  </si>
  <si>
    <t>どちらか１つを記入</t>
    <rPh sb="7" eb="9">
      <t>キニュウ</t>
    </rPh>
    <phoneticPr fontId="1"/>
  </si>
  <si>
    <t>作業メモ等</t>
    <rPh sb="0" eb="2">
      <t>サギョウ</t>
    </rPh>
    <rPh sb="4" eb="5">
      <t>トウ</t>
    </rPh>
    <phoneticPr fontId="1"/>
  </si>
  <si>
    <t>種類</t>
    <rPh sb="0" eb="2">
      <t>シュルイ</t>
    </rPh>
    <phoneticPr fontId="1"/>
  </si>
  <si>
    <t>記号</t>
    <rPh sb="0" eb="2">
      <t>キゴウ</t>
    </rPh>
    <phoneticPr fontId="1"/>
  </si>
  <si>
    <t>順号</t>
    <rPh sb="0" eb="1">
      <t>ジュン</t>
    </rPh>
    <rPh sb="1" eb="2">
      <t>ゴウ</t>
    </rPh>
    <phoneticPr fontId="1"/>
  </si>
  <si>
    <t>個数</t>
    <rPh sb="0" eb="2">
      <t>コスウ</t>
    </rPh>
    <phoneticPr fontId="1"/>
  </si>
  <si>
    <t>原料水の
加工方法</t>
    <rPh sb="0" eb="2">
      <t>ゲンリョウ</t>
    </rPh>
    <rPh sb="2" eb="3">
      <t>スイ</t>
    </rPh>
    <rPh sb="5" eb="7">
      <t>カコウ</t>
    </rPh>
    <rPh sb="7" eb="9">
      <t>ホウホウ</t>
    </rPh>
    <phoneticPr fontId="1"/>
  </si>
  <si>
    <t>加工剤</t>
    <rPh sb="0" eb="2">
      <t>カコウ</t>
    </rPh>
    <rPh sb="2" eb="3">
      <t>ザイ</t>
    </rPh>
    <phoneticPr fontId="1"/>
  </si>
  <si>
    <t>品名</t>
    <rPh sb="0" eb="2">
      <t>ヒンメイ</t>
    </rPh>
    <phoneticPr fontId="1"/>
  </si>
  <si>
    <t>区分</t>
    <rPh sb="0" eb="2">
      <t>クブン</t>
    </rPh>
    <phoneticPr fontId="1"/>
  </si>
  <si>
    <t>産地</t>
    <rPh sb="0" eb="2">
      <t>サンチ</t>
    </rPh>
    <phoneticPr fontId="1"/>
  </si>
  <si>
    <t>品種</t>
    <rPh sb="0" eb="2">
      <t>ヒンシュ</t>
    </rPh>
    <phoneticPr fontId="1"/>
  </si>
  <si>
    <t>等級</t>
    <rPh sb="0" eb="2">
      <t>トウキュウ</t>
    </rPh>
    <phoneticPr fontId="1"/>
  </si>
  <si>
    <t>浸せき（漬）</t>
    <rPh sb="0" eb="1">
      <t>ヒタ</t>
    </rPh>
    <rPh sb="4" eb="5">
      <t>ヅケ</t>
    </rPh>
    <phoneticPr fontId="1"/>
  </si>
  <si>
    <t>水切</t>
    <rPh sb="0" eb="2">
      <t>ミズキ</t>
    </rPh>
    <phoneticPr fontId="1"/>
  </si>
  <si>
    <t>蒸し</t>
    <rPh sb="0" eb="1">
      <t>ム</t>
    </rPh>
    <phoneticPr fontId="1"/>
  </si>
  <si>
    <t>時間（分）</t>
    <rPh sb="0" eb="2">
      <t>ジカン</t>
    </rPh>
    <rPh sb="3" eb="4">
      <t>フン</t>
    </rPh>
    <phoneticPr fontId="1"/>
  </si>
  <si>
    <t>米以外の原料の重量(kg）</t>
    <rPh sb="0" eb="1">
      <t>コメ</t>
    </rPh>
    <rPh sb="1" eb="3">
      <t>イガイ</t>
    </rPh>
    <rPh sb="4" eb="6">
      <t>ゲンリョウ</t>
    </rPh>
    <rPh sb="7" eb="9">
      <t>ジュウリョウ</t>
    </rPh>
    <phoneticPr fontId="1"/>
  </si>
  <si>
    <t>容器番号</t>
    <rPh sb="0" eb="2">
      <t>ヨウキ</t>
    </rPh>
    <rPh sb="2" eb="4">
      <t>バンゴウ</t>
    </rPh>
    <phoneticPr fontId="1"/>
  </si>
  <si>
    <t>添加月日</t>
    <rPh sb="0" eb="2">
      <t>テンカ</t>
    </rPh>
    <rPh sb="2" eb="4">
      <t>ツキヒ</t>
    </rPh>
    <phoneticPr fontId="1"/>
  </si>
  <si>
    <t>添加前後</t>
    <rPh sb="0" eb="2">
      <t>テンカ</t>
    </rPh>
    <rPh sb="2" eb="4">
      <t>ゼンゴ</t>
    </rPh>
    <phoneticPr fontId="1"/>
  </si>
  <si>
    <t>深</t>
    <rPh sb="0" eb="1">
      <t>フカシ</t>
    </rPh>
    <phoneticPr fontId="1"/>
  </si>
  <si>
    <t>前</t>
    <rPh sb="0" eb="1">
      <t>マエ</t>
    </rPh>
    <phoneticPr fontId="1"/>
  </si>
  <si>
    <t>後</t>
    <rPh sb="0" eb="1">
      <t>アト</t>
    </rPh>
    <phoneticPr fontId="1"/>
  </si>
  <si>
    <t>酸性プロテアーゼ</t>
    <rPh sb="0" eb="2">
      <t>サンセイ</t>
    </rPh>
    <phoneticPr fontId="1"/>
  </si>
  <si>
    <t>グルコアミラーゼ</t>
    <phoneticPr fontId="1"/>
  </si>
  <si>
    <t>酸性カルボキシ
ペプチターゼ</t>
    <rPh sb="0" eb="2">
      <t>サンセイ</t>
    </rPh>
    <phoneticPr fontId="1"/>
  </si>
  <si>
    <t>使用数量(g)</t>
    <rPh sb="0" eb="2">
      <t>シヨウ</t>
    </rPh>
    <rPh sb="2" eb="4">
      <t>スウリョウ</t>
    </rPh>
    <phoneticPr fontId="1"/>
  </si>
  <si>
    <t>こしき置き前
重量（kg）</t>
    <rPh sb="3" eb="4">
      <t>オ</t>
    </rPh>
    <rPh sb="5" eb="6">
      <t>マエ</t>
    </rPh>
    <rPh sb="7" eb="9">
      <t>ジュウリョウ</t>
    </rPh>
    <phoneticPr fontId="1"/>
  </si>
  <si>
    <t>米処理</t>
    <rPh sb="0" eb="1">
      <t>マイ</t>
    </rPh>
    <rPh sb="1" eb="3">
      <t>ショリ</t>
    </rPh>
    <phoneticPr fontId="1"/>
  </si>
  <si>
    <t>掛米（Kg）</t>
    <rPh sb="0" eb="1">
      <t>カケ</t>
    </rPh>
    <rPh sb="1" eb="2">
      <t>マイ</t>
    </rPh>
    <phoneticPr fontId="1"/>
  </si>
  <si>
    <t>白米水分
（％）</t>
    <rPh sb="0" eb="2">
      <t>ハクマイ</t>
    </rPh>
    <rPh sb="2" eb="4">
      <t>スイブン</t>
    </rPh>
    <phoneticPr fontId="1"/>
  </si>
  <si>
    <t>蒸し出し即時
重量（kg）</t>
    <rPh sb="0" eb="1">
      <t>ム</t>
    </rPh>
    <rPh sb="2" eb="3">
      <t>ダ</t>
    </rPh>
    <rPh sb="4" eb="6">
      <t>ソクジ</t>
    </rPh>
    <rPh sb="7" eb="9">
      <t>ジュウリョウ</t>
    </rPh>
    <phoneticPr fontId="1"/>
  </si>
  <si>
    <t>もろみ上槽直前</t>
  </si>
  <si>
    <t>品温（℃）</t>
    <rPh sb="0" eb="2">
      <t>ヒンオン</t>
    </rPh>
    <phoneticPr fontId="1"/>
  </si>
  <si>
    <t>アルコール度</t>
    <rPh sb="5" eb="6">
      <t>ド</t>
    </rPh>
    <phoneticPr fontId="1"/>
  </si>
  <si>
    <t>一番最後の数量</t>
    <rPh sb="0" eb="2">
      <t>イチバン</t>
    </rPh>
    <rPh sb="2" eb="4">
      <t>サイゴ</t>
    </rPh>
    <rPh sb="5" eb="7">
      <t>スウリョウ</t>
    </rPh>
    <phoneticPr fontId="1"/>
  </si>
  <si>
    <t>一番最後の深</t>
    <rPh sb="0" eb="2">
      <t>イチバン</t>
    </rPh>
    <rPh sb="2" eb="4">
      <t>サイゴ</t>
    </rPh>
    <rPh sb="5" eb="6">
      <t>フカ</t>
    </rPh>
    <phoneticPr fontId="1"/>
  </si>
  <si>
    <t>一番最後の温度</t>
    <rPh sb="0" eb="2">
      <t>イチバン</t>
    </rPh>
    <rPh sb="2" eb="4">
      <t>サイゴ</t>
    </rPh>
    <rPh sb="5" eb="7">
      <t>オンド</t>
    </rPh>
    <phoneticPr fontId="1"/>
  </si>
  <si>
    <t>一番最後の日本酒度</t>
    <rPh sb="0" eb="2">
      <t>イチバン</t>
    </rPh>
    <rPh sb="2" eb="4">
      <t>サイゴ</t>
    </rPh>
    <rPh sb="5" eb="8">
      <t>ニホンシュ</t>
    </rPh>
    <rPh sb="8" eb="9">
      <t>ド</t>
    </rPh>
    <phoneticPr fontId="1"/>
  </si>
  <si>
    <t>製成事績</t>
    <rPh sb="0" eb="2">
      <t>セイセイ</t>
    </rPh>
    <rPh sb="2" eb="4">
      <t>ジセキ</t>
    </rPh>
    <phoneticPr fontId="1"/>
  </si>
  <si>
    <t>製成月日</t>
    <rPh sb="0" eb="2">
      <t>セイセイ</t>
    </rPh>
    <rPh sb="2" eb="4">
      <t>ツキヒ</t>
    </rPh>
    <phoneticPr fontId="1"/>
  </si>
  <si>
    <t>月日</t>
    <rPh sb="0" eb="2">
      <t>ツキヒ</t>
    </rPh>
    <phoneticPr fontId="1"/>
  </si>
  <si>
    <t>総重量(kg）</t>
    <rPh sb="0" eb="3">
      <t>ソウジュウリョウ</t>
    </rPh>
    <phoneticPr fontId="1"/>
  </si>
  <si>
    <t>風袋（kg）</t>
    <rPh sb="0" eb="2">
      <t>フウタイ</t>
    </rPh>
    <phoneticPr fontId="1"/>
  </si>
  <si>
    <t>かす換算率</t>
    <rPh sb="2" eb="4">
      <t>カンサン</t>
    </rPh>
    <rPh sb="4" eb="5">
      <t>リツ</t>
    </rPh>
    <phoneticPr fontId="1"/>
  </si>
  <si>
    <t>かす</t>
    <phoneticPr fontId="1"/>
  </si>
  <si>
    <t>使用こうじ</t>
    <rPh sb="0" eb="2">
      <t>シヨウ</t>
    </rPh>
    <phoneticPr fontId="1"/>
  </si>
  <si>
    <t>白米歩合</t>
    <rPh sb="0" eb="2">
      <t>ハクマイ</t>
    </rPh>
    <rPh sb="2" eb="4">
      <t>ブアイ</t>
    </rPh>
    <phoneticPr fontId="1"/>
  </si>
  <si>
    <t>製成歩合
（％）</t>
    <rPh sb="0" eb="2">
      <t>セイセイ</t>
    </rPh>
    <rPh sb="2" eb="4">
      <t>ブアイ</t>
    </rPh>
    <phoneticPr fontId="1"/>
  </si>
  <si>
    <t>合計</t>
    <rPh sb="0" eb="2">
      <t>ゴウケイ</t>
    </rPh>
    <phoneticPr fontId="1"/>
  </si>
  <si>
    <t>シブ予測係数比</t>
    <rPh sb="2" eb="4">
      <t>ヨソク</t>
    </rPh>
    <rPh sb="4" eb="6">
      <t>ケイスウ</t>
    </rPh>
    <rPh sb="6" eb="7">
      <t>ヒ</t>
    </rPh>
    <phoneticPr fontId="1"/>
  </si>
  <si>
    <t>かす歩合</t>
    <rPh sb="2" eb="4">
      <t>ブアイ</t>
    </rPh>
    <phoneticPr fontId="1"/>
  </si>
  <si>
    <t>もろみ歩合</t>
    <rPh sb="3" eb="5">
      <t>ブアイ</t>
    </rPh>
    <phoneticPr fontId="1"/>
  </si>
  <si>
    <t>もろみたれ歩合</t>
    <rPh sb="5" eb="7">
      <t>ブアイ</t>
    </rPh>
    <phoneticPr fontId="1"/>
  </si>
  <si>
    <t>清酒歩合</t>
    <rPh sb="0" eb="2">
      <t>セイシュ</t>
    </rPh>
    <rPh sb="2" eb="4">
      <t>ブアイ</t>
    </rPh>
    <phoneticPr fontId="1"/>
  </si>
  <si>
    <t>総水歩合</t>
    <rPh sb="0" eb="1">
      <t>ソウ</t>
    </rPh>
    <rPh sb="1" eb="2">
      <t>ミズ</t>
    </rPh>
    <rPh sb="2" eb="4">
      <t>ブアイ</t>
    </rPh>
    <phoneticPr fontId="1"/>
  </si>
  <si>
    <t>肉たれ歩合</t>
    <rPh sb="0" eb="1">
      <t>ニク</t>
    </rPh>
    <rPh sb="3" eb="5">
      <t>ブアイ</t>
    </rPh>
    <phoneticPr fontId="1"/>
  </si>
  <si>
    <t>純アルコールたれ歩合</t>
    <rPh sb="0" eb="1">
      <t>ジュン</t>
    </rPh>
    <rPh sb="8" eb="10">
      <t>ブアイ</t>
    </rPh>
    <phoneticPr fontId="1"/>
  </si>
  <si>
    <t>もろみ熟成歩合</t>
    <rPh sb="3" eb="5">
      <t>ジュクセイ</t>
    </rPh>
    <rPh sb="5" eb="7">
      <t>ブアイ</t>
    </rPh>
    <phoneticPr fontId="1"/>
  </si>
  <si>
    <t>日本酒度の比重換算</t>
    <phoneticPr fontId="1"/>
  </si>
  <si>
    <t>アルコールの比重換算</t>
    <rPh sb="6" eb="8">
      <t>ヒジュウ</t>
    </rPh>
    <rPh sb="8" eb="10">
      <t>カンザン</t>
    </rPh>
    <phoneticPr fontId="1"/>
  </si>
  <si>
    <t>【アルコール分と比重の換算表】</t>
    <rPh sb="6" eb="7">
      <t>ブン</t>
    </rPh>
    <rPh sb="8" eb="10">
      <t>ヒジュウ</t>
    </rPh>
    <rPh sb="11" eb="13">
      <t>カンサン</t>
    </rPh>
    <rPh sb="13" eb="14">
      <t>ヒョウ</t>
    </rPh>
    <phoneticPr fontId="1"/>
  </si>
  <si>
    <t>もろみのボーメ（日本酒度もボーメ変換</t>
    <rPh sb="8" eb="11">
      <t>ニホンシュ</t>
    </rPh>
    <rPh sb="11" eb="12">
      <t>ド</t>
    </rPh>
    <rPh sb="16" eb="18">
      <t>ヘンカン</t>
    </rPh>
    <phoneticPr fontId="1"/>
  </si>
  <si>
    <t>ボーメ目標
（使用していない？）</t>
    <rPh sb="3" eb="5">
      <t>モクヒョウ</t>
    </rPh>
    <rPh sb="7" eb="9">
      <t>シヨウ</t>
    </rPh>
    <phoneticPr fontId="1"/>
  </si>
  <si>
    <t>最高ボーメ目標
（使用していない？）</t>
    <rPh sb="0" eb="2">
      <t>サイコウ</t>
    </rPh>
    <rPh sb="5" eb="7">
      <t>モクヒョウ</t>
    </rPh>
    <rPh sb="9" eb="11">
      <t>シヨウ</t>
    </rPh>
    <phoneticPr fontId="1"/>
  </si>
  <si>
    <t>日本酒度目標
（使用していない？）</t>
    <rPh sb="0" eb="3">
      <t>ニホンシュ</t>
    </rPh>
    <rPh sb="3" eb="4">
      <t>ド</t>
    </rPh>
    <rPh sb="4" eb="6">
      <t>モクヒョウ</t>
    </rPh>
    <rPh sb="8" eb="10">
      <t>シヨウ</t>
    </rPh>
    <phoneticPr fontId="1"/>
  </si>
  <si>
    <t>アルコール目標
（使用していない？）</t>
    <rPh sb="5" eb="7">
      <t>モクヒョウ</t>
    </rPh>
    <rPh sb="9" eb="11">
      <t>シヨウ</t>
    </rPh>
    <phoneticPr fontId="1"/>
  </si>
  <si>
    <t>【A-B直線グラフ描画用】</t>
    <rPh sb="4" eb="6">
      <t>チョクセン</t>
    </rPh>
    <rPh sb="9" eb="12">
      <t>ビョウガヨウ</t>
    </rPh>
    <phoneticPr fontId="1"/>
  </si>
  <si>
    <t>【BMD直線、原エキスグラフ描画用）</t>
    <rPh sb="4" eb="6">
      <t>チョクセン</t>
    </rPh>
    <rPh sb="7" eb="8">
      <t>ゲン</t>
    </rPh>
    <rPh sb="14" eb="17">
      <t>ビョウガヨウ</t>
    </rPh>
    <phoneticPr fontId="1"/>
  </si>
  <si>
    <t>これをもとにもろみのエキス分計算</t>
    <rPh sb="13" eb="14">
      <t>ブン</t>
    </rPh>
    <rPh sb="14" eb="16">
      <t>ケイサン</t>
    </rPh>
    <phoneticPr fontId="1"/>
  </si>
  <si>
    <t>目標値１</t>
    <rPh sb="0" eb="3">
      <t>モクヒョウチ</t>
    </rPh>
    <phoneticPr fontId="1"/>
  </si>
  <si>
    <t>目標値２</t>
    <rPh sb="0" eb="3">
      <t>モクヒョウチ</t>
    </rPh>
    <phoneticPr fontId="1"/>
  </si>
  <si>
    <t>↑上の数値をとるための関数が、グルコースとその他で異なります（グルコース以外の関数のほうが簡単）</t>
    <rPh sb="1" eb="2">
      <t>ウエ</t>
    </rPh>
    <rPh sb="3" eb="5">
      <t>スウチ</t>
    </rPh>
    <rPh sb="11" eb="13">
      <t>カンスウ</t>
    </rPh>
    <rPh sb="23" eb="24">
      <t>タ</t>
    </rPh>
    <rPh sb="25" eb="26">
      <t>コト</t>
    </rPh>
    <rPh sb="36" eb="38">
      <t>イガイ</t>
    </rPh>
    <rPh sb="39" eb="41">
      <t>カンスウ</t>
    </rPh>
    <rPh sb="45" eb="47">
      <t>カンタン</t>
    </rPh>
    <phoneticPr fontId="1"/>
  </si>
  <si>
    <t>【製成事績の表の計算式】</t>
    <rPh sb="1" eb="3">
      <t>セイセイ</t>
    </rPh>
    <rPh sb="3" eb="5">
      <t>ジセキ</t>
    </rPh>
    <rPh sb="6" eb="7">
      <t>ヒョウ</t>
    </rPh>
    <rPh sb="8" eb="11">
      <t>ケイサンシキ</t>
    </rPh>
    <phoneticPr fontId="1"/>
  </si>
  <si>
    <t>【原エキス、新甘辛度、シブ値などの自動計算用計算式】　※もろみ経過簿に記載の最後の数値を引っ張ってくるための関数　※一部「もろみ上槽直前」の表にも使用。</t>
    <rPh sb="1" eb="2">
      <t>ゲン</t>
    </rPh>
    <rPh sb="6" eb="7">
      <t>シン</t>
    </rPh>
    <rPh sb="7" eb="9">
      <t>アマカラ</t>
    </rPh>
    <rPh sb="9" eb="10">
      <t>ド</t>
    </rPh>
    <rPh sb="13" eb="14">
      <t>チ</t>
    </rPh>
    <rPh sb="17" eb="19">
      <t>ジドウ</t>
    </rPh>
    <rPh sb="19" eb="22">
      <t>ケイサンヨウ</t>
    </rPh>
    <rPh sb="22" eb="25">
      <t>ケイサンシキ</t>
    </rPh>
    <rPh sb="31" eb="33">
      <t>ケイカ</t>
    </rPh>
    <rPh sb="33" eb="34">
      <t>ボ</t>
    </rPh>
    <rPh sb="35" eb="37">
      <t>キサイ</t>
    </rPh>
    <rPh sb="38" eb="40">
      <t>サイゴ</t>
    </rPh>
    <rPh sb="41" eb="43">
      <t>スウチ</t>
    </rPh>
    <rPh sb="44" eb="45">
      <t>ヒ</t>
    </rPh>
    <rPh sb="46" eb="47">
      <t>パ</t>
    </rPh>
    <rPh sb="54" eb="56">
      <t>カンスウ</t>
    </rPh>
    <rPh sb="58" eb="60">
      <t>イチブ</t>
    </rPh>
    <rPh sb="64" eb="66">
      <t>ジョウソウ</t>
    </rPh>
    <rPh sb="66" eb="68">
      <t>チョクゼン</t>
    </rPh>
    <rPh sb="70" eb="71">
      <t>ヒョウ</t>
    </rPh>
    <rPh sb="73" eb="75">
      <t>シヨウ</t>
    </rPh>
    <phoneticPr fontId="1"/>
  </si>
  <si>
    <t>　40列の「最高BMD」は、ここの計算式を使わず、セル内に直接関数を入れて計算（表示）している。なお、「D40」と「D41」は配列数式のため、ctrl+shiftを押しながらEnterで決定すること（他のところにもこういうセルあり、注意）</t>
    <rPh sb="3" eb="4">
      <t>レツ</t>
    </rPh>
    <rPh sb="6" eb="8">
      <t>サイコウ</t>
    </rPh>
    <rPh sb="17" eb="20">
      <t>ケイサンシキ</t>
    </rPh>
    <rPh sb="21" eb="22">
      <t>ツカ</t>
    </rPh>
    <rPh sb="27" eb="28">
      <t>ナイ</t>
    </rPh>
    <rPh sb="29" eb="31">
      <t>チョクセツ</t>
    </rPh>
    <rPh sb="31" eb="33">
      <t>カンスウ</t>
    </rPh>
    <rPh sb="34" eb="35">
      <t>イ</t>
    </rPh>
    <rPh sb="37" eb="39">
      <t>ケイサン</t>
    </rPh>
    <rPh sb="40" eb="42">
      <t>ヒョウジ</t>
    </rPh>
    <phoneticPr fontId="1"/>
  </si>
  <si>
    <t>濃淡指数</t>
    <rPh sb="0" eb="2">
      <t>ノウタン</t>
    </rPh>
    <rPh sb="2" eb="4">
      <t>シスウ</t>
    </rPh>
    <phoneticPr fontId="1"/>
  </si>
  <si>
    <t>アミノ酸度比</t>
    <rPh sb="3" eb="5">
      <t>サンド</t>
    </rPh>
    <rPh sb="5" eb="6">
      <t>ヒ</t>
    </rPh>
    <phoneticPr fontId="1"/>
  </si>
  <si>
    <t>グルコース比</t>
    <rPh sb="5" eb="6">
      <t>ヒ</t>
    </rPh>
    <phoneticPr fontId="1"/>
  </si>
  <si>
    <t>グルコース（g/100ml）</t>
    <phoneticPr fontId="1"/>
  </si>
  <si>
    <t>酸度（ml）</t>
    <rPh sb="0" eb="2">
      <t>サンド</t>
    </rPh>
    <phoneticPr fontId="1"/>
  </si>
  <si>
    <t>アミノ酸度（ml）</t>
    <rPh sb="3" eb="4">
      <t>サン</t>
    </rPh>
    <rPh sb="4" eb="5">
      <t>ド</t>
    </rPh>
    <phoneticPr fontId="1"/>
  </si>
  <si>
    <t>BMD</t>
    <phoneticPr fontId="1"/>
  </si>
  <si>
    <t>原エキス分</t>
    <rPh sb="0" eb="1">
      <t>ゲン</t>
    </rPh>
    <rPh sb="4" eb="5">
      <t>ブン</t>
    </rPh>
    <phoneticPr fontId="1"/>
  </si>
  <si>
    <t>数量（L）</t>
    <rPh sb="0" eb="2">
      <t>スウリョウ</t>
    </rPh>
    <phoneticPr fontId="1"/>
  </si>
  <si>
    <t>もろみ歩合（％）</t>
    <rPh sb="3" eb="5">
      <t>ブアイ</t>
    </rPh>
    <phoneticPr fontId="1"/>
  </si>
  <si>
    <t>くみ水（L）</t>
    <rPh sb="2" eb="3">
      <t>ミズ</t>
    </rPh>
    <phoneticPr fontId="1"/>
  </si>
  <si>
    <t>総米（ｋｇ）</t>
    <rPh sb="0" eb="1">
      <t>ソウ</t>
    </rPh>
    <rPh sb="1" eb="2">
      <t>マイ</t>
    </rPh>
    <phoneticPr fontId="1"/>
  </si>
  <si>
    <t>最高BMD時の日数</t>
    <rPh sb="0" eb="2">
      <t>サイコウ</t>
    </rPh>
    <rPh sb="5" eb="6">
      <t>ジ</t>
    </rPh>
    <rPh sb="7" eb="9">
      <t>ニッスウ</t>
    </rPh>
    <phoneticPr fontId="1"/>
  </si>
  <si>
    <t>G/α比</t>
    <rPh sb="3" eb="4">
      <t>ヒ</t>
    </rPh>
    <phoneticPr fontId="1"/>
  </si>
  <si>
    <t>四段仕込の種類
及び数量（kg、L）</t>
    <rPh sb="0" eb="2">
      <t>ヨダン</t>
    </rPh>
    <rPh sb="2" eb="4">
      <t>シコミ</t>
    </rPh>
    <rPh sb="5" eb="7">
      <t>シュルイ</t>
    </rPh>
    <rPh sb="8" eb="9">
      <t>オヨ</t>
    </rPh>
    <rPh sb="10" eb="12">
      <t>スウリョウ</t>
    </rPh>
    <phoneticPr fontId="1"/>
  </si>
  <si>
    <t>こしき置き前
吸水率（％）</t>
    <rPh sb="3" eb="4">
      <t>オ</t>
    </rPh>
    <rPh sb="5" eb="6">
      <t>マエ</t>
    </rPh>
    <rPh sb="7" eb="9">
      <t>キュウスイ</t>
    </rPh>
    <rPh sb="9" eb="10">
      <t>リツ</t>
    </rPh>
    <phoneticPr fontId="1"/>
  </si>
  <si>
    <t>蒸し出し即時
吸水率（％）</t>
    <rPh sb="7" eb="9">
      <t>キュウスイ</t>
    </rPh>
    <rPh sb="9" eb="10">
      <t>リツ</t>
    </rPh>
    <phoneticPr fontId="1"/>
  </si>
  <si>
    <t>かす換算数量（L）</t>
    <rPh sb="2" eb="4">
      <t>カンサン</t>
    </rPh>
    <rPh sb="4" eb="6">
      <t>スウリョウ</t>
    </rPh>
    <phoneticPr fontId="1"/>
  </si>
  <si>
    <t>実重量(kg）</t>
    <rPh sb="0" eb="1">
      <t>ジツ</t>
    </rPh>
    <rPh sb="1" eb="3">
      <t>ジュウリョウ</t>
    </rPh>
    <phoneticPr fontId="1"/>
  </si>
  <si>
    <t>原エキス分</t>
    <rPh sb="0" eb="1">
      <t>ハラ</t>
    </rPh>
    <rPh sb="4" eb="5">
      <t>ブン</t>
    </rPh>
    <phoneticPr fontId="1"/>
  </si>
  <si>
    <t>1回目</t>
    <rPh sb="1" eb="3">
      <t>カイメ</t>
    </rPh>
    <phoneticPr fontId="1"/>
  </si>
  <si>
    <t>２回目</t>
    <rPh sb="1" eb="3">
      <t>カイメ</t>
    </rPh>
    <phoneticPr fontId="1"/>
  </si>
  <si>
    <t>３回目</t>
    <rPh sb="1" eb="3">
      <t>カイメ</t>
    </rPh>
    <phoneticPr fontId="1"/>
  </si>
  <si>
    <t>４回目</t>
    <rPh sb="1" eb="3">
      <t>カイメ</t>
    </rPh>
    <phoneticPr fontId="1"/>
  </si>
  <si>
    <t>５回目</t>
    <rPh sb="1" eb="3">
      <t>カイメ</t>
    </rPh>
    <phoneticPr fontId="1"/>
  </si>
  <si>
    <t>６回目</t>
    <rPh sb="1" eb="3">
      <t>カイメ</t>
    </rPh>
    <phoneticPr fontId="1"/>
  </si>
  <si>
    <t>７回目</t>
    <rPh sb="1" eb="3">
      <t>カイメ</t>
    </rPh>
    <phoneticPr fontId="1"/>
  </si>
  <si>
    <t>８回目</t>
    <rPh sb="1" eb="3">
      <t>カイメ</t>
    </rPh>
    <phoneticPr fontId="1"/>
  </si>
  <si>
    <t>９回目</t>
    <rPh sb="1" eb="3">
      <t>カイメ</t>
    </rPh>
    <phoneticPr fontId="1"/>
  </si>
  <si>
    <t>１０回目</t>
    <rPh sb="2" eb="4">
      <t>カイメ</t>
    </rPh>
    <phoneticPr fontId="1"/>
  </si>
  <si>
    <t>〇日目</t>
    <rPh sb="1" eb="2">
      <t>ニチ</t>
    </rPh>
    <rPh sb="2" eb="3">
      <t>メ</t>
    </rPh>
    <phoneticPr fontId="1"/>
  </si>
  <si>
    <t>汲水歩合</t>
    <phoneticPr fontId="1"/>
  </si>
  <si>
    <t>留即時</t>
    <rPh sb="0" eb="1">
      <t>トメ</t>
    </rPh>
    <rPh sb="1" eb="2">
      <t>ソク</t>
    </rPh>
    <rPh sb="2" eb="3">
      <t>ジ</t>
    </rPh>
    <phoneticPr fontId="1"/>
  </si>
  <si>
    <t>追水１</t>
    <rPh sb="0" eb="1">
      <t>オ</t>
    </rPh>
    <rPh sb="1" eb="2">
      <t>ミズ</t>
    </rPh>
    <phoneticPr fontId="1"/>
  </si>
  <si>
    <t>追水２</t>
    <rPh sb="0" eb="1">
      <t>オ</t>
    </rPh>
    <rPh sb="1" eb="2">
      <t>ミズ</t>
    </rPh>
    <phoneticPr fontId="1"/>
  </si>
  <si>
    <t>追水３</t>
    <rPh sb="0" eb="1">
      <t>オ</t>
    </rPh>
    <rPh sb="1" eb="2">
      <t>ミズ</t>
    </rPh>
    <phoneticPr fontId="1"/>
  </si>
  <si>
    <t>追水４</t>
    <rPh sb="0" eb="1">
      <t>オ</t>
    </rPh>
    <rPh sb="1" eb="2">
      <t>ミズ</t>
    </rPh>
    <phoneticPr fontId="1"/>
  </si>
  <si>
    <t>追水５</t>
    <rPh sb="0" eb="1">
      <t>オ</t>
    </rPh>
    <rPh sb="1" eb="2">
      <t>ミズ</t>
    </rPh>
    <phoneticPr fontId="1"/>
  </si>
  <si>
    <t>追水６</t>
    <rPh sb="0" eb="1">
      <t>オ</t>
    </rPh>
    <rPh sb="1" eb="2">
      <t>ミズ</t>
    </rPh>
    <phoneticPr fontId="1"/>
  </si>
  <si>
    <t>追水７</t>
    <rPh sb="0" eb="1">
      <t>オ</t>
    </rPh>
    <rPh sb="1" eb="2">
      <t>ミズ</t>
    </rPh>
    <phoneticPr fontId="1"/>
  </si>
  <si>
    <t>追水８</t>
    <rPh sb="0" eb="1">
      <t>オ</t>
    </rPh>
    <rPh sb="1" eb="2">
      <t>ミズ</t>
    </rPh>
    <phoneticPr fontId="1"/>
  </si>
  <si>
    <t>追水９</t>
    <rPh sb="0" eb="1">
      <t>オ</t>
    </rPh>
    <rPh sb="1" eb="2">
      <t>ミズ</t>
    </rPh>
    <phoneticPr fontId="1"/>
  </si>
  <si>
    <t>追水１０</t>
    <rPh sb="0" eb="1">
      <t>オ</t>
    </rPh>
    <rPh sb="1" eb="2">
      <t>ミズ</t>
    </rPh>
    <phoneticPr fontId="1"/>
  </si>
  <si>
    <t>追水無効アルコール分</t>
    <rPh sb="0" eb="1">
      <t>オ</t>
    </rPh>
    <rPh sb="1" eb="2">
      <t>ミズ</t>
    </rPh>
    <rPh sb="2" eb="4">
      <t>ムコウ</t>
    </rPh>
    <rPh sb="9" eb="10">
      <t>ブン</t>
    </rPh>
    <phoneticPr fontId="1"/>
  </si>
  <si>
    <t>追水無効エキス分</t>
    <rPh sb="0" eb="1">
      <t>オ</t>
    </rPh>
    <rPh sb="1" eb="2">
      <t>ミズ</t>
    </rPh>
    <rPh sb="2" eb="4">
      <t>ムコウ</t>
    </rPh>
    <rPh sb="7" eb="8">
      <t>ブン</t>
    </rPh>
    <phoneticPr fontId="1"/>
  </si>
  <si>
    <t>追水無効グルコース</t>
    <rPh sb="0" eb="1">
      <t>オ</t>
    </rPh>
    <rPh sb="1" eb="2">
      <t>ミズ</t>
    </rPh>
    <rPh sb="2" eb="4">
      <t>ムコウ</t>
    </rPh>
    <phoneticPr fontId="1"/>
  </si>
  <si>
    <t>オリゴ糖</t>
    <rPh sb="3" eb="4">
      <t>トウ</t>
    </rPh>
    <phoneticPr fontId="1"/>
  </si>
  <si>
    <t>（汲水100％換算）</t>
    <rPh sb="1" eb="2">
      <t>ク</t>
    </rPh>
    <rPh sb="2" eb="3">
      <t>ミズ</t>
    </rPh>
    <rPh sb="7" eb="9">
      <t>カンサン</t>
    </rPh>
    <phoneticPr fontId="1"/>
  </si>
  <si>
    <t>発酵力</t>
  </si>
  <si>
    <t>液化力</t>
    <rPh sb="0" eb="2">
      <t>エキカ</t>
    </rPh>
    <rPh sb="2" eb="3">
      <t>リョク</t>
    </rPh>
    <phoneticPr fontId="1"/>
  </si>
  <si>
    <t>糖化力</t>
    <rPh sb="0" eb="2">
      <t>トウカ</t>
    </rPh>
    <rPh sb="2" eb="3">
      <t>リョク</t>
    </rPh>
    <phoneticPr fontId="1"/>
  </si>
  <si>
    <t>発酵力・液化力・糖化力算出のための比較日数</t>
    <rPh sb="4" eb="6">
      <t>エキカ</t>
    </rPh>
    <rPh sb="6" eb="7">
      <t>リョク</t>
    </rPh>
    <rPh sb="8" eb="10">
      <t>トウカ</t>
    </rPh>
    <rPh sb="10" eb="11">
      <t>リョク</t>
    </rPh>
    <rPh sb="11" eb="13">
      <t>サンシュツ</t>
    </rPh>
    <rPh sb="17" eb="19">
      <t>ヒカク</t>
    </rPh>
    <rPh sb="19" eb="21">
      <t>ニッスウ</t>
    </rPh>
    <phoneticPr fontId="1"/>
  </si>
  <si>
    <t>日</t>
    <rPh sb="0" eb="1">
      <t>ニチ</t>
    </rPh>
    <phoneticPr fontId="1"/>
  </si>
  <si>
    <t>最高ボーメ時の日数</t>
    <rPh sb="0" eb="2">
      <t>サイコウ</t>
    </rPh>
    <rPh sb="5" eb="6">
      <t>ジ</t>
    </rPh>
    <rPh sb="7" eb="9">
      <t>ニッスウ</t>
    </rPh>
    <phoneticPr fontId="1"/>
  </si>
  <si>
    <t>追水量（L)</t>
    <rPh sb="0" eb="1">
      <t>オ</t>
    </rPh>
    <rPh sb="1" eb="2">
      <t>ミズ</t>
    </rPh>
    <rPh sb="2" eb="3">
      <t>リョウ</t>
    </rPh>
    <phoneticPr fontId="1"/>
  </si>
  <si>
    <t>【発酵力等関係：追水無効化参照セル】</t>
    <rPh sb="1" eb="3">
      <t>ハッコウ</t>
    </rPh>
    <rPh sb="3" eb="4">
      <t>リョク</t>
    </rPh>
    <rPh sb="4" eb="5">
      <t>トウ</t>
    </rPh>
    <rPh sb="5" eb="7">
      <t>カンケイ</t>
    </rPh>
    <rPh sb="8" eb="9">
      <t>オ</t>
    </rPh>
    <rPh sb="9" eb="10">
      <t>ミズ</t>
    </rPh>
    <rPh sb="10" eb="12">
      <t>ムコウ</t>
    </rPh>
    <rPh sb="12" eb="13">
      <t>カ</t>
    </rPh>
    <rPh sb="13" eb="15">
      <t>サンショウ</t>
    </rPh>
    <phoneticPr fontId="1"/>
  </si>
  <si>
    <t>換算なし</t>
    <rPh sb="0" eb="2">
      <t>カンサン</t>
    </rPh>
    <phoneticPr fontId="1"/>
  </si>
  <si>
    <t>発酵力（g/100ml）</t>
    <rPh sb="0" eb="2">
      <t>ハッコウ</t>
    </rPh>
    <rPh sb="2" eb="3">
      <t>リョク</t>
    </rPh>
    <phoneticPr fontId="1"/>
  </si>
  <si>
    <t>エキス分（g/100ml）</t>
    <rPh sb="3" eb="4">
      <t>ブン</t>
    </rPh>
    <phoneticPr fontId="1"/>
  </si>
  <si>
    <t>原エキス分（g/100ml）</t>
    <rPh sb="0" eb="1">
      <t>ゲン</t>
    </rPh>
    <rPh sb="4" eb="5">
      <t>ブン</t>
    </rPh>
    <phoneticPr fontId="1"/>
  </si>
  <si>
    <t>オリゴ糖（g/100ml）</t>
    <rPh sb="3" eb="4">
      <t>トウ</t>
    </rPh>
    <phoneticPr fontId="1"/>
  </si>
  <si>
    <t>液化力（g/100ml）</t>
    <rPh sb="0" eb="2">
      <t>エキカ</t>
    </rPh>
    <rPh sb="2" eb="3">
      <t>リョク</t>
    </rPh>
    <phoneticPr fontId="1"/>
  </si>
  <si>
    <t>糖化力（g/100ml）</t>
    <rPh sb="0" eb="2">
      <t>トウカ</t>
    </rPh>
    <rPh sb="2" eb="3">
      <t>リョク</t>
    </rPh>
    <phoneticPr fontId="1"/>
  </si>
  <si>
    <t>発酵力・液化力・糖化力のくみ水補正（100％換算）</t>
    <rPh sb="4" eb="6">
      <t>エキカ</t>
    </rPh>
    <rPh sb="6" eb="7">
      <t>リョク</t>
    </rPh>
    <rPh sb="8" eb="10">
      <t>トウカ</t>
    </rPh>
    <rPh sb="10" eb="11">
      <t>リョク</t>
    </rPh>
    <rPh sb="14" eb="15">
      <t>ミズ</t>
    </rPh>
    <rPh sb="15" eb="17">
      <t>ホセイ</t>
    </rPh>
    <rPh sb="22" eb="24">
      <t>カンサン</t>
    </rPh>
    <phoneticPr fontId="1"/>
  </si>
  <si>
    <t>【目標時のもろみ日本酒度予想　】</t>
    <rPh sb="1" eb="3">
      <t>モクヒョウ</t>
    </rPh>
    <rPh sb="3" eb="4">
      <t>ジ</t>
    </rPh>
    <rPh sb="8" eb="11">
      <t>ニホンシュ</t>
    </rPh>
    <rPh sb="11" eb="12">
      <t>ド</t>
    </rPh>
    <rPh sb="12" eb="14">
      <t>ヨソウ</t>
    </rPh>
    <phoneticPr fontId="1"/>
  </si>
  <si>
    <t>メーターになった時の日本酒度</t>
    <rPh sb="8" eb="9">
      <t>トキ</t>
    </rPh>
    <rPh sb="10" eb="13">
      <t>ニホンシュ</t>
    </rPh>
    <rPh sb="13" eb="14">
      <t>ド</t>
    </rPh>
    <phoneticPr fontId="1"/>
  </si>
  <si>
    <t>上記の時のアルコール分</t>
    <rPh sb="0" eb="2">
      <t>ジョウキ</t>
    </rPh>
    <rPh sb="3" eb="4">
      <t>トキ</t>
    </rPh>
    <rPh sb="10" eb="11">
      <t>ブン</t>
    </rPh>
    <phoneticPr fontId="1"/>
  </si>
  <si>
    <t>比重換算</t>
    <rPh sb="0" eb="2">
      <t>ヒジュウ</t>
    </rPh>
    <rPh sb="2" eb="4">
      <t>カンサン</t>
    </rPh>
    <phoneticPr fontId="1"/>
  </si>
  <si>
    <t>実際の最高ボーメ</t>
    <rPh sb="0" eb="2">
      <t>ジッサイ</t>
    </rPh>
    <rPh sb="3" eb="5">
      <t>サイコウ</t>
    </rPh>
    <phoneticPr fontId="1"/>
  </si>
  <si>
    <t>目標の最高ボーメ</t>
    <rPh sb="0" eb="2">
      <t>モクヒョウ</t>
    </rPh>
    <rPh sb="3" eb="5">
      <t>サイコウ</t>
    </rPh>
    <phoneticPr fontId="1"/>
  </si>
  <si>
    <t>目標の最高BMD</t>
    <rPh sb="0" eb="2">
      <t>モクヒョウ</t>
    </rPh>
    <rPh sb="3" eb="5">
      <t>サイコウ</t>
    </rPh>
    <phoneticPr fontId="1"/>
  </si>
  <si>
    <t>実際の最高BMD</t>
    <rPh sb="0" eb="2">
      <t>ジッサイ</t>
    </rPh>
    <rPh sb="3" eb="5">
      <t>サイコウ</t>
    </rPh>
    <phoneticPr fontId="1"/>
  </si>
  <si>
    <t>【最高BMD、最高ボーメ関係】</t>
    <rPh sb="1" eb="3">
      <t>サイコウ</t>
    </rPh>
    <rPh sb="7" eb="9">
      <t>サイコウ</t>
    </rPh>
    <rPh sb="12" eb="14">
      <t>カンケイ</t>
    </rPh>
    <phoneticPr fontId="1"/>
  </si>
  <si>
    <t>酒母歩合（％）</t>
    <rPh sb="0" eb="2">
      <t>シュボ</t>
    </rPh>
    <rPh sb="2" eb="4">
      <t>ブアイ</t>
    </rPh>
    <phoneticPr fontId="1"/>
  </si>
  <si>
    <t>こうじ歩合（％）</t>
    <rPh sb="3" eb="5">
      <t>ブアイ</t>
    </rPh>
    <phoneticPr fontId="1"/>
  </si>
  <si>
    <t>初添総米を１とした時の比率</t>
    <phoneticPr fontId="1"/>
  </si>
  <si>
    <t>酒母総米を１とした時の比率</t>
    <rPh sb="0" eb="2">
      <t>シュボ</t>
    </rPh>
    <rPh sb="2" eb="3">
      <t>ソウ</t>
    </rPh>
    <rPh sb="3" eb="4">
      <t>マイ</t>
    </rPh>
    <rPh sb="9" eb="10">
      <t>トキ</t>
    </rPh>
    <rPh sb="11" eb="13">
      <t>ヒリツ</t>
    </rPh>
    <phoneticPr fontId="1"/>
  </si>
  <si>
    <t>添加アルコール数量（L）</t>
    <rPh sb="0" eb="2">
      <t>テンカ</t>
    </rPh>
    <rPh sb="7" eb="9">
      <t>スウリョウ</t>
    </rPh>
    <phoneticPr fontId="1"/>
  </si>
  <si>
    <t>純アルコール数量（L）</t>
    <rPh sb="0" eb="1">
      <t>ジュン</t>
    </rPh>
    <rPh sb="6" eb="8">
      <t>スウリョウ</t>
    </rPh>
    <phoneticPr fontId="1"/>
  </si>
  <si>
    <t>添加アルコール重量(kg）</t>
    <rPh sb="0" eb="2">
      <t>テンカ</t>
    </rPh>
    <rPh sb="7" eb="9">
      <t>ジュウリョウ</t>
    </rPh>
    <phoneticPr fontId="1"/>
  </si>
  <si>
    <t>増加数量（L）</t>
    <rPh sb="0" eb="2">
      <t>ゾウカ</t>
    </rPh>
    <rPh sb="2" eb="4">
      <t>スウリョウ</t>
    </rPh>
    <phoneticPr fontId="1"/>
  </si>
  <si>
    <t>増加歩合（％）</t>
    <rPh sb="0" eb="2">
      <t>ゾウカ</t>
    </rPh>
    <rPh sb="2" eb="4">
      <t>ブアイ</t>
    </rPh>
    <phoneticPr fontId="1"/>
  </si>
  <si>
    <t>くみ水歩合（％）</t>
    <rPh sb="2" eb="3">
      <t>ミズ</t>
    </rPh>
    <rPh sb="3" eb="5">
      <t>ブアイ</t>
    </rPh>
    <phoneticPr fontId="1"/>
  </si>
  <si>
    <t>くみ水歩合（％）（四段除く）</t>
    <rPh sb="2" eb="3">
      <t>ミズ</t>
    </rPh>
    <rPh sb="3" eb="5">
      <t>ブアイ</t>
    </rPh>
    <rPh sb="9" eb="11">
      <t>ヨダン</t>
    </rPh>
    <rPh sb="11" eb="12">
      <t>ノゾ</t>
    </rPh>
    <phoneticPr fontId="1"/>
  </si>
  <si>
    <t>アルコール（L)（30％換算）</t>
    <rPh sb="12" eb="14">
      <t>カンサン</t>
    </rPh>
    <phoneticPr fontId="1"/>
  </si>
  <si>
    <t>酵素剤</t>
    <rPh sb="0" eb="2">
      <t>コウソ</t>
    </rPh>
    <rPh sb="2" eb="3">
      <t>ザイ</t>
    </rPh>
    <phoneticPr fontId="1"/>
  </si>
  <si>
    <t>使用日</t>
    <rPh sb="0" eb="2">
      <t>シヨウ</t>
    </rPh>
    <rPh sb="2" eb="3">
      <t>ビ</t>
    </rPh>
    <phoneticPr fontId="1"/>
  </si>
  <si>
    <t>使用数量（ｇ）</t>
    <rPh sb="0" eb="2">
      <t>シヨウ</t>
    </rPh>
    <rPh sb="2" eb="3">
      <t>スウ</t>
    </rPh>
    <rPh sb="3" eb="4">
      <t>リョウ</t>
    </rPh>
    <phoneticPr fontId="1"/>
  </si>
  <si>
    <t>添加アルコール分（度）</t>
    <rPh sb="0" eb="2">
      <t>テンカ</t>
    </rPh>
    <rPh sb="7" eb="8">
      <t>ブン</t>
    </rPh>
    <rPh sb="9" eb="10">
      <t>ド</t>
    </rPh>
    <phoneticPr fontId="1"/>
  </si>
  <si>
    <t>（留意事項）</t>
    <rPh sb="1" eb="3">
      <t>リュウイ</t>
    </rPh>
    <rPh sb="3" eb="5">
      <t>ジコウ</t>
    </rPh>
    <phoneticPr fontId="1"/>
  </si>
  <si>
    <t>↑上2つのセルは使用しないことにした</t>
    <rPh sb="1" eb="2">
      <t>ウエ</t>
    </rPh>
    <rPh sb="8" eb="10">
      <t>シヨウ</t>
    </rPh>
    <phoneticPr fontId="1"/>
  </si>
  <si>
    <t>【上槽直前の表の計算式】</t>
    <rPh sb="1" eb="3">
      <t>ジョウソウ</t>
    </rPh>
    <rPh sb="3" eb="5">
      <t>チョクゼン</t>
    </rPh>
    <rPh sb="6" eb="7">
      <t>ヒョウ</t>
    </rPh>
    <rPh sb="8" eb="11">
      <t>ケイサンシキ</t>
    </rPh>
    <phoneticPr fontId="1"/>
  </si>
  <si>
    <t>原エキス分(くみみず補正）</t>
    <rPh sb="0" eb="1">
      <t>ゲン</t>
    </rPh>
    <rPh sb="4" eb="5">
      <t>ブン</t>
    </rPh>
    <rPh sb="10" eb="12">
      <t>ホセイ</t>
    </rPh>
    <phoneticPr fontId="1"/>
  </si>
  <si>
    <t>←四段のくみ水も考慮</t>
    <rPh sb="1" eb="3">
      <t>ヨダン</t>
    </rPh>
    <rPh sb="6" eb="7">
      <t>ミズ</t>
    </rPh>
    <rPh sb="8" eb="10">
      <t>コウリョ</t>
    </rPh>
    <phoneticPr fontId="1"/>
  </si>
  <si>
    <t>原エキス（くみ水100％補正）</t>
    <rPh sb="0" eb="1">
      <t>ゲン</t>
    </rPh>
    <rPh sb="7" eb="8">
      <t>ミズ</t>
    </rPh>
    <rPh sb="12" eb="14">
      <t>ホセイ</t>
    </rPh>
    <phoneticPr fontId="1"/>
  </si>
  <si>
    <t>検温</t>
    <rPh sb="0" eb="2">
      <t>ケンオン</t>
    </rPh>
    <phoneticPr fontId="1"/>
  </si>
  <si>
    <t>酒母こうじ</t>
    <rPh sb="0" eb="2">
      <t>シュボ</t>
    </rPh>
    <phoneticPr fontId="1"/>
  </si>
  <si>
    <t>添こうじ</t>
    <rPh sb="0" eb="1">
      <t>ソ</t>
    </rPh>
    <phoneticPr fontId="1"/>
  </si>
  <si>
    <t>仲こうじ</t>
    <rPh sb="0" eb="1">
      <t>ナカ</t>
    </rPh>
    <phoneticPr fontId="1"/>
  </si>
  <si>
    <t>留こうじ</t>
    <rPh sb="0" eb="1">
      <t>トメ</t>
    </rPh>
    <phoneticPr fontId="1"/>
  </si>
  <si>
    <t>アルコール分</t>
    <rPh sb="5" eb="6">
      <t>ブン</t>
    </rPh>
    <phoneticPr fontId="1"/>
  </si>
  <si>
    <t>日数</t>
    <rPh sb="0" eb="2">
      <t>ニッスウ</t>
    </rPh>
    <phoneticPr fontId="1"/>
  </si>
  <si>
    <t>【原エキスグラフにおける目標値用】</t>
    <rPh sb="1" eb="2">
      <t>ゲン</t>
    </rPh>
    <rPh sb="12" eb="15">
      <t>モクヒョウチ</t>
    </rPh>
    <rPh sb="15" eb="16">
      <t>ヨウ</t>
    </rPh>
    <phoneticPr fontId="1"/>
  </si>
  <si>
    <t>αアミラーゼ</t>
    <phoneticPr fontId="1"/>
  </si>
  <si>
    <t>1000L当りの
使用数量(g)</t>
    <rPh sb="5" eb="6">
      <t>アタ</t>
    </rPh>
    <rPh sb="9" eb="11">
      <t>シヨウ</t>
    </rPh>
    <rPh sb="11" eb="13">
      <t>スウリョウ</t>
    </rPh>
    <phoneticPr fontId="1"/>
  </si>
  <si>
    <t>酒母掛米</t>
    <rPh sb="0" eb="1">
      <t>サケ</t>
    </rPh>
    <rPh sb="1" eb="2">
      <t>ハハ</t>
    </rPh>
    <rPh sb="2" eb="3">
      <t>カ</t>
    </rPh>
    <rPh sb="3" eb="4">
      <t>コメ</t>
    </rPh>
    <phoneticPr fontId="1"/>
  </si>
  <si>
    <t>浸漬後
吸水率（％）
（自動計算）</t>
    <rPh sb="0" eb="2">
      <t>シンセキ</t>
    </rPh>
    <rPh sb="2" eb="3">
      <t>ゴ</t>
    </rPh>
    <rPh sb="4" eb="6">
      <t>キュウスイ</t>
    </rPh>
    <rPh sb="6" eb="7">
      <t>リツ</t>
    </rPh>
    <rPh sb="12" eb="14">
      <t>ジドウ</t>
    </rPh>
    <rPh sb="14" eb="16">
      <t>ケイサン</t>
    </rPh>
    <phoneticPr fontId="1"/>
  </si>
  <si>
    <t>純アルコール数量(L)</t>
    <rPh sb="0" eb="1">
      <t>ジュン</t>
    </rPh>
    <rPh sb="6" eb="8">
      <t>スウリョウ</t>
    </rPh>
    <phoneticPr fontId="1"/>
  </si>
  <si>
    <t>（参考）もろみ製造に係るその他記録事項</t>
    <rPh sb="1" eb="3">
      <t>サンコウ</t>
    </rPh>
    <rPh sb="7" eb="9">
      <t>セイゾウ</t>
    </rPh>
    <rPh sb="10" eb="11">
      <t>カカ</t>
    </rPh>
    <rPh sb="14" eb="15">
      <t>タ</t>
    </rPh>
    <rPh sb="15" eb="17">
      <t>キロク</t>
    </rPh>
    <rPh sb="17" eb="19">
      <t>ジコウ</t>
    </rPh>
    <phoneticPr fontId="1"/>
  </si>
  <si>
    <t>室温（℃）</t>
    <rPh sb="0" eb="2">
      <t>シツオン</t>
    </rPh>
    <phoneticPr fontId="1"/>
  </si>
  <si>
    <t>温度（℃）</t>
    <rPh sb="0" eb="2">
      <t>オンド</t>
    </rPh>
    <phoneticPr fontId="1"/>
  </si>
  <si>
    <t>浸漬後
白米水分（％）
（自動計算）</t>
    <rPh sb="0" eb="2">
      <t>シンセキ</t>
    </rPh>
    <rPh sb="2" eb="3">
      <t>ゴ</t>
    </rPh>
    <rPh sb="4" eb="6">
      <t>ハクマイ</t>
    </rPh>
    <rPh sb="6" eb="8">
      <t>スイブン</t>
    </rPh>
    <rPh sb="13" eb="15">
      <t>ジドウ</t>
    </rPh>
    <rPh sb="15" eb="17">
      <t>ケイサン</t>
    </rPh>
    <phoneticPr fontId="1"/>
  </si>
  <si>
    <t>こしき置き前
白米水分（％）</t>
    <rPh sb="3" eb="4">
      <t>オ</t>
    </rPh>
    <rPh sb="5" eb="6">
      <t>マエ</t>
    </rPh>
    <rPh sb="7" eb="9">
      <t>ハクマイ</t>
    </rPh>
    <rPh sb="9" eb="11">
      <t>スイブン</t>
    </rPh>
    <phoneticPr fontId="1"/>
  </si>
  <si>
    <t>蒸し出し即時
白米水分（％）</t>
    <rPh sb="7" eb="9">
      <t>ハクマイ</t>
    </rPh>
    <rPh sb="9" eb="11">
      <t>スイブン</t>
    </rPh>
    <phoneticPr fontId="1"/>
  </si>
  <si>
    <t>浸漬後
重量（kg）</t>
    <phoneticPr fontId="1"/>
  </si>
  <si>
    <t>浸せき前
重量（kg）</t>
    <rPh sb="0" eb="1">
      <t>ヒタ</t>
    </rPh>
    <rPh sb="3" eb="4">
      <t>マエ</t>
    </rPh>
    <rPh sb="5" eb="7">
      <t>ジュウリョウ</t>
    </rPh>
    <phoneticPr fontId="1"/>
  </si>
  <si>
    <t>原エキス分のくみ水補正（100％換算）</t>
    <rPh sb="0" eb="1">
      <t>ハラ</t>
    </rPh>
    <rPh sb="4" eb="5">
      <t>ブン</t>
    </rPh>
    <rPh sb="8" eb="9">
      <t>ミズ</t>
    </rPh>
    <rPh sb="9" eb="11">
      <t>ホセイ</t>
    </rPh>
    <rPh sb="16" eb="18">
      <t>カンサン</t>
    </rPh>
    <phoneticPr fontId="1"/>
  </si>
  <si>
    <t>補正する</t>
  </si>
  <si>
    <t>グレースケール</t>
    <phoneticPr fontId="1"/>
  </si>
  <si>
    <t>カラー</t>
  </si>
  <si>
    <t>原エキス直線１(100%)</t>
    <rPh sb="0" eb="1">
      <t>ゲン</t>
    </rPh>
    <rPh sb="4" eb="6">
      <t>チョクセン</t>
    </rPh>
    <phoneticPr fontId="1"/>
  </si>
  <si>
    <t>原エキス直線２(100%)</t>
    <rPh sb="0" eb="1">
      <t>ゲン</t>
    </rPh>
    <rPh sb="4" eb="6">
      <t>チョクセン</t>
    </rPh>
    <phoneticPr fontId="1"/>
  </si>
  <si>
    <t>しない</t>
  </si>
  <si>
    <t>調味液製造</t>
    <rPh sb="0" eb="2">
      <t>チョウミ</t>
    </rPh>
    <rPh sb="2" eb="3">
      <t>エキ</t>
    </rPh>
    <rPh sb="3" eb="5">
      <t>セイゾウ</t>
    </rPh>
    <phoneticPr fontId="1"/>
  </si>
  <si>
    <t>アルコール</t>
    <phoneticPr fontId="1"/>
  </si>
  <si>
    <t>ぶどう糖</t>
    <rPh sb="3" eb="4">
      <t>トウ</t>
    </rPh>
    <phoneticPr fontId="1"/>
  </si>
  <si>
    <t>水あめ</t>
    <rPh sb="0" eb="1">
      <t>ミズ</t>
    </rPh>
    <phoneticPr fontId="1"/>
  </si>
  <si>
    <t>グルタミン酸ソーダ</t>
    <rPh sb="5" eb="6">
      <t>サン</t>
    </rPh>
    <phoneticPr fontId="1"/>
  </si>
  <si>
    <t>乳酸</t>
    <rPh sb="0" eb="2">
      <t>ニュウサン</t>
    </rPh>
    <phoneticPr fontId="1"/>
  </si>
  <si>
    <t>こはく酸</t>
    <rPh sb="3" eb="4">
      <t>サン</t>
    </rPh>
    <phoneticPr fontId="1"/>
  </si>
  <si>
    <t>水</t>
    <rPh sb="0" eb="1">
      <t>ミズ</t>
    </rPh>
    <phoneticPr fontId="1"/>
  </si>
  <si>
    <t>原料</t>
    <rPh sb="0" eb="2">
      <t>ゲンリョウ</t>
    </rPh>
    <phoneticPr fontId="1"/>
  </si>
  <si>
    <t>計</t>
    <rPh sb="0" eb="1">
      <t>ケイ</t>
    </rPh>
    <phoneticPr fontId="1"/>
  </si>
  <si>
    <t>記号</t>
    <rPh sb="0" eb="2">
      <t>キゴウ</t>
    </rPh>
    <phoneticPr fontId="1"/>
  </si>
  <si>
    <t>順号</t>
    <rPh sb="0" eb="1">
      <t>ジュン</t>
    </rPh>
    <rPh sb="1" eb="2">
      <t>ゴウ</t>
    </rPh>
    <phoneticPr fontId="1"/>
  </si>
  <si>
    <t>製造月日</t>
    <rPh sb="0" eb="4">
      <t>セイゾウガッピ</t>
    </rPh>
    <phoneticPr fontId="1"/>
  </si>
  <si>
    <t>容器番号</t>
    <rPh sb="0" eb="4">
      <t>ヨウキバンゴウ</t>
    </rPh>
    <phoneticPr fontId="1"/>
  </si>
  <si>
    <t>深</t>
    <rPh sb="0" eb="1">
      <t>フカ</t>
    </rPh>
    <phoneticPr fontId="1"/>
  </si>
  <si>
    <t>数量(L)</t>
    <rPh sb="0" eb="2">
      <t>スウリョウ</t>
    </rPh>
    <phoneticPr fontId="1"/>
  </si>
  <si>
    <t>アルコール分</t>
    <rPh sb="5" eb="6">
      <t>ブン</t>
    </rPh>
    <phoneticPr fontId="1"/>
  </si>
  <si>
    <t>日本酒度</t>
    <rPh sb="0" eb="4">
      <t>ニホンシュド</t>
    </rPh>
    <phoneticPr fontId="1"/>
  </si>
  <si>
    <t>ボーメ</t>
    <phoneticPr fontId="1"/>
  </si>
  <si>
    <t>酸度</t>
    <rPh sb="0" eb="2">
      <t>サンド</t>
    </rPh>
    <phoneticPr fontId="1"/>
  </si>
  <si>
    <t>使用月日</t>
    <rPh sb="0" eb="4">
      <t>シヨウガッピ</t>
    </rPh>
    <phoneticPr fontId="1"/>
  </si>
  <si>
    <t>もろみ順号</t>
    <rPh sb="3" eb="5">
      <t>ジュンゴウ</t>
    </rPh>
    <phoneticPr fontId="1"/>
  </si>
  <si>
    <t>使用後深</t>
    <rPh sb="0" eb="3">
      <t>シヨウゴ</t>
    </rPh>
    <rPh sb="3" eb="4">
      <t>フカ</t>
    </rPh>
    <phoneticPr fontId="1"/>
  </si>
  <si>
    <t>重量(g)</t>
    <rPh sb="0" eb="2">
      <t>ジュウリョウ</t>
    </rPh>
    <phoneticPr fontId="1"/>
  </si>
  <si>
    <t>使用数量(L)</t>
    <rPh sb="0" eb="4">
      <t>シヨウスウリョウ</t>
    </rPh>
    <phoneticPr fontId="1"/>
  </si>
  <si>
    <t>使用後数量(L)</t>
    <rPh sb="0" eb="3">
      <t>シヨウゴ</t>
    </rPh>
    <rPh sb="3" eb="5">
      <t>スウリョウ</t>
    </rPh>
    <phoneticPr fontId="1"/>
  </si>
  <si>
    <t>添加</t>
    <rPh sb="0" eb="2">
      <t>テンカ</t>
    </rPh>
    <phoneticPr fontId="1"/>
  </si>
  <si>
    <t>白米1000kg当り使用数(L)</t>
    <rPh sb="0" eb="2">
      <t>ハクマイ</t>
    </rPh>
    <rPh sb="8" eb="9">
      <t>アタ</t>
    </rPh>
    <rPh sb="10" eb="13">
      <t>シヨウスウ</t>
    </rPh>
    <phoneticPr fontId="1"/>
  </si>
  <si>
    <t>もろみ１ｋL当り欠減(L)</t>
    <rPh sb="6" eb="7">
      <t>アタ</t>
    </rPh>
    <rPh sb="8" eb="10">
      <t>ケツゲン</t>
    </rPh>
    <phoneticPr fontId="1"/>
  </si>
  <si>
    <t>白米1000kg当り純ｱﾙｺｰﾙ収得量(L)</t>
    <rPh sb="0" eb="2">
      <t>ハクマイ</t>
    </rPh>
    <rPh sb="8" eb="9">
      <t>アタ</t>
    </rPh>
    <rPh sb="10" eb="11">
      <t>ジュン</t>
    </rPh>
    <rPh sb="16" eb="19">
      <t>シュウトクリョウ</t>
    </rPh>
    <phoneticPr fontId="1"/>
  </si>
  <si>
    <t>添加数量合計</t>
    <rPh sb="0" eb="6">
      <t>テンカスウリョウゴウケイ</t>
    </rPh>
    <phoneticPr fontId="1"/>
  </si>
  <si>
    <t>合併生成
もろみ</t>
    <rPh sb="0" eb="2">
      <t>ガッペイ</t>
    </rPh>
    <rPh sb="2" eb="4">
      <t>セイセイ</t>
    </rPh>
    <phoneticPr fontId="1"/>
  </si>
  <si>
    <t>仕込
順号</t>
    <rPh sb="0" eb="2">
      <t>シコ</t>
    </rPh>
    <rPh sb="3" eb="4">
      <t>ジュン</t>
    </rPh>
    <rPh sb="4" eb="5">
      <t>ゴウ</t>
    </rPh>
    <phoneticPr fontId="1"/>
  </si>
  <si>
    <t>号</t>
    <rPh sb="0" eb="1">
      <t>ゴウ</t>
    </rPh>
    <phoneticPr fontId="1"/>
  </si>
  <si>
    <t>自第</t>
    <rPh sb="0" eb="1">
      <t>ジ</t>
    </rPh>
    <rPh sb="1" eb="2">
      <t>ダイ</t>
    </rPh>
    <phoneticPr fontId="1"/>
  </si>
  <si>
    <t>至第</t>
    <rPh sb="0" eb="1">
      <t>イタ</t>
    </rPh>
    <rPh sb="1" eb="2">
      <t>ダイ</t>
    </rPh>
    <phoneticPr fontId="1"/>
  </si>
  <si>
    <t>もろみ
数量(L)</t>
    <rPh sb="4" eb="6">
      <t>スウリョウ</t>
    </rPh>
    <phoneticPr fontId="1"/>
  </si>
  <si>
    <t>純アルコール
数量（L）</t>
    <rPh sb="0" eb="1">
      <t>ジュン</t>
    </rPh>
    <rPh sb="7" eb="9">
      <t>スウリョウ</t>
    </rPh>
    <phoneticPr fontId="1"/>
  </si>
  <si>
    <t>総米(kg)</t>
    <rPh sb="0" eb="2">
      <t>ソウマイ</t>
    </rPh>
    <phoneticPr fontId="1"/>
  </si>
  <si>
    <t>対玄米利用率</t>
    <rPh sb="0" eb="1">
      <t>タイ</t>
    </rPh>
    <rPh sb="1" eb="3">
      <t>ゲンマイ</t>
    </rPh>
    <rPh sb="3" eb="6">
      <t>リヨウリツ</t>
    </rPh>
    <phoneticPr fontId="1"/>
  </si>
  <si>
    <t>白米利用率</t>
    <rPh sb="0" eb="2">
      <t>ハクマイ</t>
    </rPh>
    <rPh sb="2" eb="5">
      <t>リヨウリツ</t>
    </rPh>
    <phoneticPr fontId="1"/>
  </si>
  <si>
    <t>↓左詰めで入力してください</t>
    <rPh sb="1" eb="2">
      <t>ヒダリ</t>
    </rPh>
    <rPh sb="2" eb="3">
      <t>ツ</t>
    </rPh>
    <rPh sb="5" eb="7">
      <t>ニュウリョク</t>
    </rPh>
    <phoneticPr fontId="1"/>
  </si>
  <si>
    <t>←(総米欄について)もろみの合併又は分割を行った場合は総米量を手入力してください</t>
    <rPh sb="2" eb="3">
      <t>ソウ</t>
    </rPh>
    <rPh sb="3" eb="4">
      <t>マイ</t>
    </rPh>
    <rPh sb="4" eb="5">
      <t>ラン</t>
    </rPh>
    <phoneticPr fontId="1"/>
  </si>
  <si>
    <t>白米利用率</t>
    <rPh sb="0" eb="2">
      <t>ハクマイ</t>
    </rPh>
    <rPh sb="2" eb="5">
      <t>リヨウリツ</t>
    </rPh>
    <phoneticPr fontId="1"/>
  </si>
  <si>
    <t>対玄米利用率</t>
    <rPh sb="0" eb="1">
      <t>タイ</t>
    </rPh>
    <rPh sb="1" eb="3">
      <t>ゲンマイ</t>
    </rPh>
    <rPh sb="3" eb="6">
      <t>リヨウリツ</t>
    </rPh>
    <phoneticPr fontId="1"/>
  </si>
  <si>
    <r>
      <t xml:space="preserve">普通酒
</t>
    </r>
    <r>
      <rPr>
        <sz val="6"/>
        <color theme="1"/>
        <rFont val="ＭＳ Ｐゴシック"/>
        <family val="3"/>
        <charset val="128"/>
        <scheme val="minor"/>
      </rPr>
      <t>（糖類不使用に限る）</t>
    </r>
    <rPh sb="0" eb="2">
      <t>フツウ</t>
    </rPh>
    <rPh sb="2" eb="3">
      <t>シュ</t>
    </rPh>
    <rPh sb="5" eb="7">
      <t>トウルイ</t>
    </rPh>
    <rPh sb="7" eb="10">
      <t>フシヨウ</t>
    </rPh>
    <rPh sb="11" eb="12">
      <t>カギ</t>
    </rPh>
    <phoneticPr fontId="1"/>
  </si>
  <si>
    <t>↑</t>
    <phoneticPr fontId="1"/>
  </si>
  <si>
    <t>純米吟醸酒</t>
    <rPh sb="0" eb="2">
      <t>ジュンマイ</t>
    </rPh>
    <rPh sb="2" eb="4">
      <t>ギンジョウ</t>
    </rPh>
    <rPh sb="4" eb="5">
      <t>サケ</t>
    </rPh>
    <phoneticPr fontId="1"/>
  </si>
  <si>
    <t>吟醸酒</t>
    <rPh sb="0" eb="2">
      <t>ギンジョウ</t>
    </rPh>
    <rPh sb="2" eb="3">
      <t>サケ</t>
    </rPh>
    <phoneticPr fontId="1"/>
  </si>
  <si>
    <t>純米酒</t>
    <rPh sb="0" eb="2">
      <t>ジュンマイ</t>
    </rPh>
    <rPh sb="2" eb="3">
      <t>サケ</t>
    </rPh>
    <phoneticPr fontId="1"/>
  </si>
  <si>
    <t>本醸造酒</t>
    <rPh sb="0" eb="3">
      <t>ホンジョウゾウ</t>
    </rPh>
    <rPh sb="3" eb="4">
      <t>サケ</t>
    </rPh>
    <phoneticPr fontId="1"/>
  </si>
  <si>
    <t>過去のデータから利用率が上位10%以内となる場合を「かなり高い」、上位30%以内を「高い」、下位10%以内を「かなり低い」、下位30%以内を「低い」と表示しています</t>
    <rPh sb="0" eb="2">
      <t>カコ</t>
    </rPh>
    <rPh sb="8" eb="11">
      <t>リヨウリツ</t>
    </rPh>
    <rPh sb="12" eb="14">
      <t>ジョウイ</t>
    </rPh>
    <rPh sb="17" eb="19">
      <t>イナイ</t>
    </rPh>
    <rPh sb="22" eb="24">
      <t>バアイ</t>
    </rPh>
    <rPh sb="29" eb="30">
      <t>タカ</t>
    </rPh>
    <rPh sb="33" eb="35">
      <t>ジョウイ</t>
    </rPh>
    <rPh sb="38" eb="40">
      <t>イナイ</t>
    </rPh>
    <rPh sb="42" eb="43">
      <t>タカ</t>
    </rPh>
    <rPh sb="46" eb="48">
      <t>カイ</t>
    </rPh>
    <rPh sb="51" eb="53">
      <t>イナイ</t>
    </rPh>
    <rPh sb="58" eb="59">
      <t>ヒク</t>
    </rPh>
    <rPh sb="62" eb="64">
      <t>カイ</t>
    </rPh>
    <rPh sb="67" eb="69">
      <t>イナイ</t>
    </rPh>
    <rPh sb="71" eb="72">
      <t>ヒク</t>
    </rPh>
    <rPh sb="75" eb="77">
      <t>ヒョウジ</t>
    </rPh>
    <phoneticPr fontId="1"/>
  </si>
  <si>
    <t>ｱﾙｺｰﾙ以外の副原料を使用した場合は正しく表示されません。また、液化仕込みなどの特殊な製造法も正しく表示されない恐れがあります</t>
    <rPh sb="16" eb="18">
      <t>バアイ</t>
    </rPh>
    <rPh sb="33" eb="35">
      <t>エキカ</t>
    </rPh>
    <rPh sb="35" eb="37">
      <t>シコ</t>
    </rPh>
    <rPh sb="41" eb="43">
      <t>トクシュ</t>
    </rPh>
    <rPh sb="44" eb="47">
      <t>セイゾウホウ</t>
    </rPh>
    <rPh sb="48" eb="49">
      <t>タダ</t>
    </rPh>
    <rPh sb="51" eb="53">
      <t>ヒョウジ</t>
    </rPh>
    <rPh sb="57" eb="58">
      <t>オソ</t>
    </rPh>
    <phoneticPr fontId="1"/>
  </si>
  <si>
    <t>（もろみ熟成歩合、肉たれ歩合、総水歩合、白米1000kg当り純アルコール収得量、白米利用</t>
    <phoneticPr fontId="1"/>
  </si>
  <si>
    <t>率、対玄米利用率欄について）もろみ及び製成において合併又は分割を行ったときは手計算</t>
    <phoneticPr fontId="1"/>
  </si>
  <si>
    <t>で入力してください。</t>
    <phoneticPr fontId="1"/>
  </si>
  <si>
    <t>酒母こうじ米</t>
    <rPh sb="0" eb="2">
      <t>シュボ</t>
    </rPh>
    <rPh sb="5" eb="6">
      <t>コメ</t>
    </rPh>
    <phoneticPr fontId="1"/>
  </si>
  <si>
    <t>留掛米</t>
    <rPh sb="0" eb="1">
      <t>トメ</t>
    </rPh>
    <rPh sb="1" eb="2">
      <t>カ</t>
    </rPh>
    <rPh sb="2" eb="3">
      <t>コメ</t>
    </rPh>
    <phoneticPr fontId="1"/>
  </si>
  <si>
    <t>添掛米</t>
    <rPh sb="0" eb="1">
      <t>ソ</t>
    </rPh>
    <rPh sb="1" eb="2">
      <t>カ</t>
    </rPh>
    <rPh sb="2" eb="3">
      <t>コメ</t>
    </rPh>
    <phoneticPr fontId="1"/>
  </si>
  <si>
    <t>仲掛米</t>
    <rPh sb="0" eb="1">
      <t>ナカ</t>
    </rPh>
    <rPh sb="1" eb="2">
      <t>カ</t>
    </rPh>
    <rPh sb="2" eb="3">
      <t>コメ</t>
    </rPh>
    <phoneticPr fontId="1"/>
  </si>
  <si>
    <t>添こうじ米</t>
    <rPh sb="0" eb="1">
      <t>ソ</t>
    </rPh>
    <rPh sb="4" eb="5">
      <t>コメ</t>
    </rPh>
    <phoneticPr fontId="1"/>
  </si>
  <si>
    <t>仲こうじ米</t>
    <rPh sb="0" eb="1">
      <t>ナカ</t>
    </rPh>
    <rPh sb="4" eb="5">
      <t>コメ</t>
    </rPh>
    <phoneticPr fontId="1"/>
  </si>
  <si>
    <t>留こうじ米</t>
    <rPh sb="0" eb="1">
      <t>トメ</t>
    </rPh>
    <rPh sb="4" eb="5">
      <t>コメ</t>
    </rPh>
    <phoneticPr fontId="1"/>
  </si>
  <si>
    <t>酒母掛米</t>
    <rPh sb="0" eb="1">
      <t>サケ</t>
    </rPh>
    <rPh sb="1" eb="2">
      <t>ハハ</t>
    </rPh>
    <rPh sb="2" eb="3">
      <t>カ</t>
    </rPh>
    <rPh sb="3" eb="4">
      <t>マイ</t>
    </rPh>
    <phoneticPr fontId="1"/>
  </si>
  <si>
    <t>添こうじ米</t>
    <rPh sb="0" eb="1">
      <t>ソエ</t>
    </rPh>
    <rPh sb="4" eb="5">
      <t>マイ</t>
    </rPh>
    <phoneticPr fontId="1"/>
  </si>
  <si>
    <t>仲こうじ米</t>
    <rPh sb="0" eb="1">
      <t>ナカ</t>
    </rPh>
    <rPh sb="4" eb="5">
      <t>マイ</t>
    </rPh>
    <phoneticPr fontId="1"/>
  </si>
  <si>
    <t>留こうじ米</t>
    <rPh sb="0" eb="1">
      <t>ト</t>
    </rPh>
    <rPh sb="4" eb="5">
      <t>コメ</t>
    </rPh>
    <phoneticPr fontId="1"/>
  </si>
  <si>
    <t>添掛米</t>
    <rPh sb="0" eb="1">
      <t>ソエ</t>
    </rPh>
    <rPh sb="1" eb="2">
      <t>カ</t>
    </rPh>
    <rPh sb="2" eb="3">
      <t>マイ</t>
    </rPh>
    <phoneticPr fontId="1"/>
  </si>
  <si>
    <t>仲掛米</t>
    <rPh sb="0" eb="1">
      <t>ナカ</t>
    </rPh>
    <rPh sb="1" eb="2">
      <t>カ</t>
    </rPh>
    <rPh sb="2" eb="3">
      <t>マイ</t>
    </rPh>
    <phoneticPr fontId="1"/>
  </si>
  <si>
    <t>留掛米</t>
    <rPh sb="0" eb="1">
      <t>ト</t>
    </rPh>
    <rPh sb="1" eb="2">
      <t>カ</t>
    </rPh>
    <rPh sb="2" eb="3">
      <t>マイ</t>
    </rPh>
    <phoneticPr fontId="1"/>
  </si>
  <si>
    <t>酒母こうじ米</t>
    <rPh sb="0" eb="1">
      <t>サケ</t>
    </rPh>
    <rPh sb="1" eb="2">
      <t>ハハ</t>
    </rPh>
    <rPh sb="5" eb="6">
      <t>コメ</t>
    </rPh>
    <phoneticPr fontId="1"/>
  </si>
  <si>
    <t>仕込み種類</t>
    <rPh sb="0" eb="2">
      <t>シコ</t>
    </rPh>
    <rPh sb="3" eb="5">
      <t>シュルイ</t>
    </rPh>
    <phoneticPr fontId="1"/>
  </si>
  <si>
    <t>目標原エキス分100％換算値</t>
    <rPh sb="0" eb="2">
      <t>モクヒョウ</t>
    </rPh>
    <rPh sb="2" eb="3">
      <t>ハラ</t>
    </rPh>
    <rPh sb="6" eb="7">
      <t>ブン</t>
    </rPh>
    <rPh sb="11" eb="13">
      <t>カンサン</t>
    </rPh>
    <rPh sb="13" eb="14">
      <t>アタイ</t>
    </rPh>
    <phoneticPr fontId="1"/>
  </si>
  <si>
    <t>目標アルコールエキス分100％換算値</t>
    <rPh sb="0" eb="2">
      <t>モクヒョウ</t>
    </rPh>
    <rPh sb="10" eb="11">
      <t>ブン</t>
    </rPh>
    <rPh sb="15" eb="17">
      <t>カンサン</t>
    </rPh>
    <rPh sb="17" eb="18">
      <t>アタイ</t>
    </rPh>
    <phoneticPr fontId="1"/>
  </si>
  <si>
    <t>目標エキス分100％換算値</t>
    <rPh sb="0" eb="2">
      <t>モクヒョウ</t>
    </rPh>
    <rPh sb="5" eb="6">
      <t>ブン</t>
    </rPh>
    <rPh sb="10" eb="12">
      <t>カンサン</t>
    </rPh>
    <rPh sb="12" eb="13">
      <t>アタイ</t>
    </rPh>
    <phoneticPr fontId="1"/>
  </si>
  <si>
    <t>目標発酵度</t>
    <rPh sb="0" eb="2">
      <t>モクヒョウ</t>
    </rPh>
    <rPh sb="2" eb="4">
      <t>ハッコウ</t>
    </rPh>
    <rPh sb="4" eb="5">
      <t>ド</t>
    </rPh>
    <phoneticPr fontId="1"/>
  </si>
  <si>
    <t>エキス分100%換算値</t>
    <rPh sb="3" eb="4">
      <t>ブン</t>
    </rPh>
    <rPh sb="8" eb="10">
      <t>カンサン</t>
    </rPh>
    <rPh sb="10" eb="11">
      <t>アタイ</t>
    </rPh>
    <phoneticPr fontId="1"/>
  </si>
  <si>
    <t>発酵度</t>
    <rPh sb="0" eb="2">
      <t>ハッコウ</t>
    </rPh>
    <rPh sb="2" eb="3">
      <t>ド</t>
    </rPh>
    <phoneticPr fontId="1"/>
  </si>
  <si>
    <t>追水量（""を０に変換)</t>
    <rPh sb="0" eb="1">
      <t>オ</t>
    </rPh>
    <rPh sb="1" eb="2">
      <t>ミズ</t>
    </rPh>
    <rPh sb="2" eb="3">
      <t>リョウ</t>
    </rPh>
    <rPh sb="9" eb="11">
      <t>ヘンカン</t>
    </rPh>
    <phoneticPr fontId="1"/>
  </si>
  <si>
    <t>総水量</t>
    <rPh sb="0" eb="1">
      <t>ソウ</t>
    </rPh>
    <rPh sb="1" eb="2">
      <t>ミズ</t>
    </rPh>
    <rPh sb="2" eb="3">
      <t>リョウ</t>
    </rPh>
    <phoneticPr fontId="27"/>
  </si>
  <si>
    <t>汲水歩合</t>
    <rPh sb="0" eb="1">
      <t>ク</t>
    </rPh>
    <rPh sb="1" eb="2">
      <t>ミズ</t>
    </rPh>
    <rPh sb="2" eb="4">
      <t>ブアイ</t>
    </rPh>
    <phoneticPr fontId="27"/>
  </si>
  <si>
    <t>１１回目</t>
    <rPh sb="2" eb="4">
      <t>カイメ</t>
    </rPh>
    <phoneticPr fontId="1"/>
  </si>
  <si>
    <t>１２回目</t>
    <rPh sb="2" eb="4">
      <t>カイメ</t>
    </rPh>
    <phoneticPr fontId="1"/>
  </si>
  <si>
    <t>１３回目</t>
    <rPh sb="2" eb="4">
      <t>カイメ</t>
    </rPh>
    <phoneticPr fontId="1"/>
  </si>
  <si>
    <t>１４回目</t>
    <rPh sb="2" eb="4">
      <t>カイメ</t>
    </rPh>
    <phoneticPr fontId="1"/>
  </si>
  <si>
    <t>１５回目</t>
    <rPh sb="2" eb="4">
      <t>カイメ</t>
    </rPh>
    <phoneticPr fontId="1"/>
  </si>
  <si>
    <t>１６回目</t>
    <rPh sb="2" eb="4">
      <t>カイメ</t>
    </rPh>
    <phoneticPr fontId="1"/>
  </si>
  <si>
    <t>１７回目</t>
    <rPh sb="2" eb="4">
      <t>カイメ</t>
    </rPh>
    <phoneticPr fontId="1"/>
  </si>
  <si>
    <t>１８回目</t>
    <rPh sb="2" eb="4">
      <t>カイメ</t>
    </rPh>
    <phoneticPr fontId="1"/>
  </si>
  <si>
    <t>１９回目</t>
    <rPh sb="2" eb="4">
      <t>カイメ</t>
    </rPh>
    <phoneticPr fontId="1"/>
  </si>
  <si>
    <t>２０回目</t>
    <rPh sb="2" eb="4">
      <t>カイメ</t>
    </rPh>
    <phoneticPr fontId="1"/>
  </si>
  <si>
    <t>追水１１</t>
    <rPh sb="0" eb="1">
      <t>オ</t>
    </rPh>
    <rPh sb="1" eb="2">
      <t>ミズ</t>
    </rPh>
    <phoneticPr fontId="1"/>
  </si>
  <si>
    <t>追水１２</t>
    <rPh sb="0" eb="1">
      <t>オ</t>
    </rPh>
    <rPh sb="1" eb="2">
      <t>ミズ</t>
    </rPh>
    <phoneticPr fontId="1"/>
  </si>
  <si>
    <t>追水１３</t>
    <rPh sb="0" eb="1">
      <t>オ</t>
    </rPh>
    <rPh sb="1" eb="2">
      <t>ミズ</t>
    </rPh>
    <phoneticPr fontId="1"/>
  </si>
  <si>
    <t>追水１４</t>
    <rPh sb="0" eb="1">
      <t>オ</t>
    </rPh>
    <rPh sb="1" eb="2">
      <t>ミズ</t>
    </rPh>
    <phoneticPr fontId="1"/>
  </si>
  <si>
    <t>追水１５</t>
    <rPh sb="0" eb="1">
      <t>オ</t>
    </rPh>
    <rPh sb="1" eb="2">
      <t>ミズ</t>
    </rPh>
    <phoneticPr fontId="1"/>
  </si>
  <si>
    <t>追水１６</t>
    <rPh sb="0" eb="1">
      <t>オ</t>
    </rPh>
    <rPh sb="1" eb="2">
      <t>ミズ</t>
    </rPh>
    <phoneticPr fontId="1"/>
  </si>
  <si>
    <t>追水１７</t>
    <rPh sb="0" eb="1">
      <t>オ</t>
    </rPh>
    <rPh sb="1" eb="2">
      <t>ミズ</t>
    </rPh>
    <phoneticPr fontId="1"/>
  </si>
  <si>
    <t>追水１８</t>
    <rPh sb="0" eb="1">
      <t>オ</t>
    </rPh>
    <rPh sb="1" eb="2">
      <t>ミズ</t>
    </rPh>
    <phoneticPr fontId="1"/>
  </si>
  <si>
    <t>追水１９</t>
    <rPh sb="0" eb="1">
      <t>オ</t>
    </rPh>
    <rPh sb="1" eb="2">
      <t>ミズ</t>
    </rPh>
    <phoneticPr fontId="1"/>
  </si>
  <si>
    <t>追水２０</t>
    <rPh sb="0" eb="1">
      <t>オ</t>
    </rPh>
    <rPh sb="1" eb="2">
      <t>ミズ</t>
    </rPh>
    <phoneticPr fontId="1"/>
  </si>
  <si>
    <t>発酵エキス分</t>
    <rPh sb="0" eb="2">
      <t>ハッコウ</t>
    </rPh>
    <rPh sb="5" eb="6">
      <t>ブン</t>
    </rPh>
    <phoneticPr fontId="1"/>
  </si>
  <si>
    <t>残エキス分100%（g/100ml）</t>
    <rPh sb="0" eb="1">
      <t>ザン</t>
    </rPh>
    <rPh sb="4" eb="5">
      <t>ブン</t>
    </rPh>
    <phoneticPr fontId="1"/>
  </si>
  <si>
    <t>溶解度</t>
    <rPh sb="0" eb="3">
      <t>ヨウカイド</t>
    </rPh>
    <phoneticPr fontId="1"/>
  </si>
  <si>
    <t>溶解発酵比</t>
    <rPh sb="0" eb="2">
      <t>ヨウカイ</t>
    </rPh>
    <rPh sb="2" eb="4">
      <t>ハッコウ</t>
    </rPh>
    <rPh sb="4" eb="5">
      <t>ヒ</t>
    </rPh>
    <phoneticPr fontId="1"/>
  </si>
  <si>
    <t>品温１（℃）</t>
    <rPh sb="0" eb="2">
      <t>ヒンオン</t>
    </rPh>
    <phoneticPr fontId="1"/>
  </si>
  <si>
    <r>
      <t>品温２（℃）</t>
    </r>
    <r>
      <rPr>
        <sz val="12"/>
        <color rgb="FFFF0000"/>
        <rFont val="ＭＳ Ｐゴシック"/>
        <family val="3"/>
        <charset val="128"/>
        <scheme val="minor"/>
      </rPr>
      <t>グラフ非表示</t>
    </r>
    <rPh sb="0" eb="2">
      <t>ヒンオン</t>
    </rPh>
    <rPh sb="9" eb="12">
      <t>ヒヒョウジ</t>
    </rPh>
    <phoneticPr fontId="1"/>
  </si>
  <si>
    <t>汲水歩合（留即時）</t>
    <rPh sb="0" eb="1">
      <t>ク</t>
    </rPh>
    <rPh sb="1" eb="2">
      <t>ミズ</t>
    </rPh>
    <rPh sb="2" eb="4">
      <t>ブアイ</t>
    </rPh>
    <rPh sb="5" eb="6">
      <t>ト</t>
    </rPh>
    <rPh sb="6" eb="8">
      <t>ソクジ</t>
    </rPh>
    <phoneticPr fontId="1"/>
  </si>
  <si>
    <t>備考</t>
    <rPh sb="0" eb="2">
      <t>ビコウ</t>
    </rPh>
    <phoneticPr fontId="1"/>
  </si>
  <si>
    <t>発酵/溶解比</t>
    <rPh sb="0" eb="2">
      <t>ハッコウ</t>
    </rPh>
    <rPh sb="3" eb="5">
      <t>ヨウカイ</t>
    </rPh>
    <rPh sb="5" eb="6">
      <t>ヒ</t>
    </rPh>
    <phoneticPr fontId="1"/>
  </si>
  <si>
    <t>発酵度（g/100ml）</t>
    <rPh sb="0" eb="2">
      <t>ハッコウ</t>
    </rPh>
    <rPh sb="2" eb="3">
      <t>ド</t>
    </rPh>
    <phoneticPr fontId="1"/>
  </si>
  <si>
    <t>溶解度（g/100ml）</t>
    <rPh sb="0" eb="3">
      <t>ヨウカイド</t>
    </rPh>
    <phoneticPr fontId="1"/>
  </si>
  <si>
    <t>計算用</t>
    <rPh sb="0" eb="3">
      <t>ケイサンヨウ</t>
    </rPh>
    <phoneticPr fontId="1"/>
  </si>
  <si>
    <t>原料米処理（印刷されない設定となっています。印刷したいときはワークシート保護を解除して印刷範囲を変更してください。）</t>
    <rPh sb="0" eb="2">
      <t>ゲンリョウ</t>
    </rPh>
    <rPh sb="2" eb="3">
      <t>コメ</t>
    </rPh>
    <rPh sb="3" eb="5">
      <t>ショリ</t>
    </rPh>
    <rPh sb="6" eb="8">
      <t>インサツ</t>
    </rPh>
    <rPh sb="12" eb="14">
      <t>セッテイ</t>
    </rPh>
    <rPh sb="22" eb="24">
      <t>インサツ</t>
    </rPh>
    <rPh sb="36" eb="38">
      <t>ホゴ</t>
    </rPh>
    <rPh sb="39" eb="41">
      <t>カイジョ</t>
    </rPh>
    <rPh sb="43" eb="45">
      <t>インサツ</t>
    </rPh>
    <rPh sb="45" eb="47">
      <t>ハンイ</t>
    </rPh>
    <rPh sb="48" eb="50">
      <t>ヘンコウ</t>
    </rPh>
    <phoneticPr fontId="1"/>
  </si>
  <si>
    <t>別紙３</t>
    <rPh sb="0" eb="2">
      <t>ベッシ</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</si>
</sst>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000_ "/>
    <numFmt numFmtId="177" formatCode="0.00_ "/>
    <numFmt numFmtId="178" formatCode="0.0_ "/>
    <numFmt numFmtId="179" formatCode="m/d;@"/>
    <numFmt numFmtId="180" formatCode="h:mm;@"/>
    <numFmt numFmtId="181" formatCode="0.00000_);[Red]\(0.00000\)"/>
    <numFmt numFmtId="182" formatCode="0.00000_ "/>
    <numFmt numFmtId="183" formatCode="0.0_);[Red]\(0.0\)"/>
    <numFmt numFmtId="184" formatCode="0_ "/>
    <numFmt numFmtId="185" formatCode="0.0%"/>
    <numFmt numFmtId="186" formatCode="yyyy/m/d;@"/>
    <numFmt numFmtId="187" formatCode="0.0"/>
  </numFmts>
  <fonts count="36">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6"/>
      <name val="ＭＳ Ｐゴシック"/>
      <family val="3"/>
      <charset val="128"/>
    </font>
    <font>
      <sz val="11"/>
      <name val="ＭＳ Ｐゴシック"/>
      <family val="3"/>
      <charset val="128"/>
    </font>
    <font>
      <sz val="9"/>
      <name val="ＭＳ Ｐゴシック"/>
      <family val="3"/>
      <charset val="128"/>
    </font>
    <font>
      <sz val="11"/>
      <color indexed="81"/>
      <name val="ＭＳ Ｐゴシック"/>
      <family val="3"/>
      <charset val="128"/>
    </font>
    <font>
      <sz val="8"/>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8"/>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16"/>
      <color theme="1"/>
      <name val="ＭＳ Ｐゴシック"/>
      <family val="2"/>
      <charset val="128"/>
      <scheme val="minor"/>
    </font>
    <font>
      <sz val="9"/>
      <color theme="1"/>
      <name val="ＭＳ Ｐゴシック"/>
      <family val="3"/>
      <charset val="128"/>
      <scheme val="minor"/>
    </font>
    <font>
      <sz val="12"/>
      <color rgb="FFFF0000"/>
      <name val="ＭＳ Ｐゴシック"/>
      <family val="3"/>
      <charset val="128"/>
      <scheme val="minor"/>
    </font>
    <font>
      <sz val="12"/>
      <name val="ＭＳ Ｐゴシック"/>
      <family val="3"/>
      <charset val="128"/>
      <scheme val="minor"/>
    </font>
    <font>
      <sz val="9"/>
      <color theme="1"/>
      <name val="ＭＳ Ｐゴシック"/>
      <family val="2"/>
      <charset val="128"/>
      <scheme val="minor"/>
    </font>
    <font>
      <sz val="9"/>
      <color indexed="81"/>
      <name val="MS P ゴシック"/>
      <family val="3"/>
      <charset val="128"/>
    </font>
    <font>
      <sz val="8"/>
      <color theme="1"/>
      <name val="ＭＳ Ｐゴシック"/>
      <family val="2"/>
      <charset val="128"/>
      <scheme val="minor"/>
    </font>
    <font>
      <sz val="11"/>
      <name val="ＭＳ Ｐゴシック"/>
      <family val="3"/>
      <charset val="128"/>
      <scheme val="minor"/>
    </font>
    <font>
      <u/>
      <sz val="9"/>
      <color indexed="81"/>
      <name val="MS P ゴシック"/>
      <family val="3"/>
      <charset val="128"/>
    </font>
    <font>
      <sz val="9"/>
      <color indexed="81"/>
      <name val="ＭＳ Ｐゴシック"/>
      <family val="3"/>
      <charset val="128"/>
    </font>
    <font>
      <sz val="16"/>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color theme="1"/>
      <name val="ＭＳ Ｐゴシック"/>
      <family val="2"/>
      <scheme val="minor"/>
    </font>
    <font>
      <sz val="6"/>
      <name val="ＭＳ Ｐゴシック"/>
      <family val="3"/>
      <charset val="128"/>
      <scheme val="minor"/>
    </font>
    <font>
      <sz val="10"/>
      <color theme="1"/>
      <name val="ＭＳ Ｐゴシック"/>
      <family val="2"/>
      <charset val="128"/>
      <scheme val="minor"/>
    </font>
    <font>
      <sz val="18"/>
      <color rgb="FFFF0000"/>
      <name val="ＭＳ Ｐゴシック"/>
      <family val="2"/>
      <charset val="128"/>
      <scheme val="minor"/>
    </font>
    <font>
      <sz val="6"/>
      <color theme="1"/>
      <name val="ＭＳ Ｐゴシック"/>
      <family val="3"/>
      <charset val="128"/>
      <scheme val="minor"/>
    </font>
    <font>
      <sz val="12"/>
      <color theme="1"/>
      <name val="ＭＳ Ｐゴシック"/>
      <family val="2"/>
      <scheme val="minor"/>
    </font>
    <font>
      <sz val="12"/>
      <name val="ＭＳ Ｐゴシック"/>
      <family val="2"/>
      <charset val="128"/>
      <scheme val="minor"/>
    </font>
    <font>
      <b/>
      <sz val="9"/>
      <color indexed="81"/>
      <name val="MS P ゴシック"/>
      <family val="3"/>
      <charset val="128"/>
    </font>
    <font>
      <sz val="18"/>
      <color rgb="FF000000"/>
      <name val="ＭＳ 明朝"/>
      <family val="1"/>
      <charset val="128"/>
    </font>
    <font>
      <sz val="6"/>
      <name val="ＭＳ Ｐゴシック"/>
      <family val="2"/>
      <charset val="128"/>
    </font>
  </fonts>
  <fills count="11">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theme="0" tint="-0.14996795556505021"/>
        <bgColor indexed="64"/>
      </patternFill>
    </fill>
    <fill>
      <patternFill patternType="solid">
        <fgColor theme="7"/>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3">
    <xf numFmtId="0" fontId="0" fillId="0" borderId="0">
      <alignment vertical="center"/>
    </xf>
    <xf numFmtId="0" fontId="4" fillId="0" borderId="0"/>
    <xf numFmtId="0" fontId="26" fillId="0" borderId="0"/>
  </cellStyleXfs>
  <cellXfs count="849">
    <xf numFmtId="0" fontId="0" fillId="0" borderId="0" xfId="0">
      <alignment vertical="center"/>
    </xf>
    <xf numFmtId="0" fontId="0" fillId="3" borderId="0" xfId="0" applyFill="1">
      <alignment vertical="center"/>
    </xf>
    <xf numFmtId="0" fontId="0" fillId="0" borderId="0" xfId="0" applyAlignment="1">
      <alignment horizontal="center" vertical="center"/>
    </xf>
    <xf numFmtId="0" fontId="0" fillId="4" borderId="0" xfId="0" applyFill="1">
      <alignment vertical="center"/>
    </xf>
    <xf numFmtId="0" fontId="0" fillId="5" borderId="0" xfId="0" applyFill="1">
      <alignment vertical="center"/>
    </xf>
    <xf numFmtId="0" fontId="0" fillId="3" borderId="0" xfId="0" applyFill="1" applyAlignment="1">
      <alignment horizontal="center" vertical="center"/>
    </xf>
    <xf numFmtId="0" fontId="5" fillId="0" borderId="0" xfId="1" applyFont="1" applyAlignment="1">
      <alignment horizontal="right" vertical="center"/>
    </xf>
    <xf numFmtId="177" fontId="5" fillId="0" borderId="0" xfId="1" applyNumberFormat="1" applyFont="1" applyAlignment="1">
      <alignment horizontal="right" vertical="center"/>
    </xf>
    <xf numFmtId="178" fontId="4" fillId="0" borderId="13" xfId="1" applyNumberFormat="1" applyBorder="1" applyAlignment="1">
      <alignment vertical="center"/>
    </xf>
    <xf numFmtId="181" fontId="4" fillId="0" borderId="13" xfId="1" applyNumberFormat="1" applyBorder="1" applyAlignment="1">
      <alignment horizontal="right" vertical="center"/>
    </xf>
    <xf numFmtId="182" fontId="4" fillId="0" borderId="14" xfId="1" applyNumberFormat="1" applyBorder="1" applyAlignment="1">
      <alignment vertical="center"/>
    </xf>
    <xf numFmtId="182" fontId="4" fillId="0" borderId="15" xfId="1" applyNumberFormat="1" applyBorder="1" applyAlignment="1">
      <alignment vertical="center"/>
    </xf>
    <xf numFmtId="0" fontId="4" fillId="0" borderId="0" xfId="1" applyAlignment="1">
      <alignment vertical="center"/>
    </xf>
    <xf numFmtId="178" fontId="4" fillId="0" borderId="16" xfId="1" applyNumberFormat="1" applyBorder="1" applyAlignment="1">
      <alignment vertical="center"/>
    </xf>
    <xf numFmtId="181" fontId="4" fillId="0" borderId="16" xfId="1" applyNumberFormat="1" applyBorder="1" applyAlignment="1">
      <alignment vertical="center"/>
    </xf>
    <xf numFmtId="178" fontId="4" fillId="0" borderId="17" xfId="1" applyNumberFormat="1" applyBorder="1" applyAlignment="1">
      <alignment vertical="center"/>
    </xf>
    <xf numFmtId="181" fontId="4" fillId="0" borderId="17" xfId="1" applyNumberFormat="1" applyBorder="1" applyAlignment="1">
      <alignment vertical="center"/>
    </xf>
    <xf numFmtId="181" fontId="4" fillId="0" borderId="13" xfId="1" applyNumberFormat="1" applyBorder="1" applyAlignment="1">
      <alignment vertical="center"/>
    </xf>
    <xf numFmtId="178" fontId="4" fillId="0" borderId="16" xfId="1" applyNumberFormat="1" applyBorder="1" applyAlignment="1">
      <alignment vertical="center" wrapText="1"/>
    </xf>
    <xf numFmtId="181" fontId="4" fillId="0" borderId="16" xfId="1" applyNumberFormat="1" applyBorder="1" applyAlignment="1">
      <alignment vertical="center" wrapText="1"/>
    </xf>
    <xf numFmtId="183" fontId="4" fillId="0" borderId="16" xfId="1" applyNumberFormat="1" applyBorder="1" applyAlignment="1">
      <alignment vertical="center"/>
    </xf>
    <xf numFmtId="183" fontId="4" fillId="0" borderId="17" xfId="1" applyNumberFormat="1" applyBorder="1" applyAlignment="1">
      <alignment vertical="center"/>
    </xf>
    <xf numFmtId="183" fontId="4" fillId="0" borderId="13" xfId="1" applyNumberFormat="1" applyBorder="1" applyAlignment="1">
      <alignment vertical="center"/>
    </xf>
    <xf numFmtId="182" fontId="4" fillId="0" borderId="14" xfId="1" applyNumberFormat="1" applyBorder="1" applyAlignment="1">
      <alignment horizontal="right" vertical="center"/>
    </xf>
    <xf numFmtId="181" fontId="4" fillId="0" borderId="0" xfId="1" applyNumberFormat="1" applyAlignment="1">
      <alignment vertical="center"/>
    </xf>
    <xf numFmtId="177" fontId="4" fillId="0" borderId="0" xfId="1" applyNumberFormat="1" applyAlignment="1">
      <alignment vertical="center"/>
    </xf>
    <xf numFmtId="0" fontId="5" fillId="2" borderId="0" xfId="1" applyFont="1" applyFill="1" applyAlignment="1">
      <alignment horizontal="right" vertical="center"/>
    </xf>
    <xf numFmtId="177" fontId="5" fillId="2" borderId="0" xfId="1" applyNumberFormat="1" applyFont="1" applyFill="1" applyAlignment="1">
      <alignment horizontal="right" vertical="center"/>
    </xf>
    <xf numFmtId="0" fontId="5" fillId="0" borderId="0" xfId="1" applyFont="1" applyAlignment="1">
      <alignment horizontal="left" vertical="center"/>
    </xf>
    <xf numFmtId="0" fontId="0" fillId="0" borderId="1" xfId="0" applyBorder="1">
      <alignment vertical="center"/>
    </xf>
    <xf numFmtId="0" fontId="0" fillId="3" borderId="0" xfId="0" applyFill="1" applyAlignment="1">
      <alignment horizontal="left" vertical="center"/>
    </xf>
    <xf numFmtId="184" fontId="0" fillId="3" borderId="0" xfId="0" applyNumberFormat="1" applyFill="1" applyAlignment="1">
      <alignment horizontal="center" vertical="center"/>
    </xf>
    <xf numFmtId="0" fontId="0" fillId="3" borderId="0" xfId="0" applyFill="1" applyAlignment="1">
      <alignment vertical="top"/>
    </xf>
    <xf numFmtId="178" fontId="0" fillId="3" borderId="0" xfId="0" applyNumberFormat="1" applyFill="1" applyAlignment="1">
      <alignment horizontal="center" vertical="center"/>
    </xf>
    <xf numFmtId="0" fontId="9" fillId="4" borderId="1" xfId="0" applyFont="1" applyFill="1" applyBorder="1" applyAlignment="1">
      <alignment horizontal="center" vertical="center" shrinkToFit="1"/>
    </xf>
    <xf numFmtId="0" fontId="9" fillId="5" borderId="1" xfId="0" applyFont="1" applyFill="1" applyBorder="1" applyAlignment="1">
      <alignment horizontal="center" vertical="center" shrinkToFit="1"/>
    </xf>
    <xf numFmtId="178" fontId="9" fillId="4" borderId="1" xfId="0" applyNumberFormat="1" applyFont="1" applyFill="1" applyBorder="1" applyAlignment="1">
      <alignment horizontal="center" vertical="center" shrinkToFit="1"/>
    </xf>
    <xf numFmtId="178" fontId="9" fillId="6" borderId="1" xfId="0" applyNumberFormat="1" applyFont="1" applyFill="1" applyBorder="1" applyAlignment="1">
      <alignment horizontal="center" vertical="center" shrinkToFit="1"/>
    </xf>
    <xf numFmtId="176" fontId="9" fillId="6" borderId="1" xfId="0" applyNumberFormat="1" applyFont="1" applyFill="1" applyBorder="1" applyAlignment="1">
      <alignment horizontal="center" vertical="center" shrinkToFit="1"/>
    </xf>
    <xf numFmtId="0" fontId="9" fillId="0" borderId="0" xfId="0" applyFont="1" applyAlignment="1">
      <alignment horizontal="center" vertical="center"/>
    </xf>
    <xf numFmtId="0" fontId="9" fillId="0" borderId="0" xfId="0" applyFont="1">
      <alignment vertical="center"/>
    </xf>
    <xf numFmtId="0" fontId="9" fillId="0" borderId="0" xfId="0" applyFont="1" applyAlignment="1">
      <alignment horizontal="center" vertical="center" shrinkToFit="1"/>
    </xf>
    <xf numFmtId="0" fontId="9" fillId="0" borderId="0" xfId="0" applyFont="1" applyAlignment="1">
      <alignment vertical="center" shrinkToFit="1"/>
    </xf>
    <xf numFmtId="185" fontId="9" fillId="0" borderId="0" xfId="0" applyNumberFormat="1" applyFont="1" applyAlignment="1">
      <alignment horizontal="center" vertical="center" shrinkToFit="1"/>
    </xf>
    <xf numFmtId="0" fontId="0" fillId="8" borderId="0" xfId="0" applyFill="1">
      <alignment vertical="center"/>
    </xf>
    <xf numFmtId="0" fontId="0" fillId="6" borderId="0" xfId="0" applyFill="1">
      <alignment vertical="center"/>
    </xf>
    <xf numFmtId="0" fontId="8" fillId="0" borderId="0" xfId="0" applyFont="1">
      <alignment vertical="center"/>
    </xf>
    <xf numFmtId="0" fontId="13" fillId="0" borderId="0" xfId="0" applyFont="1">
      <alignment vertical="center"/>
    </xf>
    <xf numFmtId="0" fontId="9" fillId="0" borderId="0" xfId="0" applyFont="1" applyAlignment="1">
      <alignment horizontal="left" vertical="center"/>
    </xf>
    <xf numFmtId="0" fontId="8" fillId="0" borderId="0" xfId="0" applyFont="1" applyAlignment="1">
      <alignment horizontal="left" vertical="center"/>
    </xf>
    <xf numFmtId="0" fontId="9" fillId="0" borderId="28" xfId="0" applyFont="1" applyBorder="1" applyAlignment="1">
      <alignment horizontal="center" vertical="center" shrinkToFit="1"/>
    </xf>
    <xf numFmtId="0" fontId="9" fillId="0" borderId="29" xfId="0" applyFont="1" applyBorder="1" applyAlignment="1">
      <alignment horizontal="center" vertical="center" shrinkToFit="1"/>
    </xf>
    <xf numFmtId="0" fontId="9" fillId="8" borderId="28" xfId="0" applyFont="1" applyFill="1" applyBorder="1" applyAlignment="1">
      <alignment horizontal="center" vertical="center" shrinkToFit="1"/>
    </xf>
    <xf numFmtId="0" fontId="9" fillId="4" borderId="28" xfId="0" applyFont="1" applyFill="1" applyBorder="1" applyAlignment="1">
      <alignment horizontal="center" vertical="center" shrinkToFit="1"/>
    </xf>
    <xf numFmtId="0" fontId="9" fillId="4" borderId="29" xfId="0" applyFont="1" applyFill="1" applyBorder="1" applyAlignment="1">
      <alignment horizontal="center" vertical="center" shrinkToFit="1"/>
    </xf>
    <xf numFmtId="0" fontId="9" fillId="6" borderId="28" xfId="0" applyFont="1" applyFill="1" applyBorder="1" applyAlignment="1">
      <alignment horizontal="center" vertical="center" shrinkToFit="1"/>
    </xf>
    <xf numFmtId="0" fontId="9" fillId="6" borderId="29" xfId="0" applyFont="1" applyFill="1" applyBorder="1" applyAlignment="1">
      <alignment horizontal="center" vertical="center" shrinkToFit="1"/>
    </xf>
    <xf numFmtId="0" fontId="9" fillId="5" borderId="28" xfId="0" applyFont="1" applyFill="1" applyBorder="1" applyAlignment="1">
      <alignment horizontal="center" vertical="center" shrinkToFit="1"/>
    </xf>
    <xf numFmtId="0" fontId="9" fillId="5" borderId="29" xfId="0" applyFont="1" applyFill="1" applyBorder="1" applyAlignment="1">
      <alignment horizontal="center" vertical="center" shrinkToFit="1"/>
    </xf>
    <xf numFmtId="178" fontId="9" fillId="4" borderId="28" xfId="0" applyNumberFormat="1" applyFont="1" applyFill="1" applyBorder="1" applyAlignment="1">
      <alignment horizontal="center" vertical="center" shrinkToFit="1"/>
    </xf>
    <xf numFmtId="178" fontId="9" fillId="4" borderId="29" xfId="0" applyNumberFormat="1" applyFont="1" applyFill="1" applyBorder="1" applyAlignment="1">
      <alignment horizontal="center" vertical="center" shrinkToFit="1"/>
    </xf>
    <xf numFmtId="178" fontId="9" fillId="2" borderId="28" xfId="0" applyNumberFormat="1" applyFont="1" applyFill="1" applyBorder="1" applyAlignment="1">
      <alignment horizontal="center" vertical="center" shrinkToFit="1"/>
    </xf>
    <xf numFmtId="178" fontId="9" fillId="6" borderId="28" xfId="0" applyNumberFormat="1" applyFont="1" applyFill="1" applyBorder="1" applyAlignment="1">
      <alignment horizontal="center" vertical="center" shrinkToFit="1"/>
    </xf>
    <xf numFmtId="178" fontId="9" fillId="6" borderId="29" xfId="0" applyNumberFormat="1" applyFont="1" applyFill="1" applyBorder="1" applyAlignment="1">
      <alignment horizontal="center" vertical="center" shrinkToFit="1"/>
    </xf>
    <xf numFmtId="0" fontId="9" fillId="6" borderId="42" xfId="0" applyFont="1" applyFill="1" applyBorder="1" applyAlignment="1">
      <alignment horizontal="center" vertical="center" shrinkToFit="1"/>
    </xf>
    <xf numFmtId="0" fontId="9" fillId="5" borderId="42" xfId="0" applyFont="1" applyFill="1" applyBorder="1" applyAlignment="1">
      <alignment horizontal="center" vertical="center" shrinkToFit="1"/>
    </xf>
    <xf numFmtId="178" fontId="9" fillId="4" borderId="42" xfId="0" applyNumberFormat="1" applyFont="1" applyFill="1" applyBorder="1" applyAlignment="1">
      <alignment horizontal="center" vertical="center" shrinkToFit="1"/>
    </xf>
    <xf numFmtId="178" fontId="9" fillId="6" borderId="42" xfId="0" applyNumberFormat="1" applyFont="1" applyFill="1" applyBorder="1" applyAlignment="1">
      <alignment horizontal="center" vertical="center" shrinkToFit="1"/>
    </xf>
    <xf numFmtId="176" fontId="9" fillId="6" borderId="28" xfId="0" applyNumberFormat="1" applyFont="1" applyFill="1" applyBorder="1" applyAlignment="1">
      <alignment horizontal="center" vertical="center" shrinkToFit="1"/>
    </xf>
    <xf numFmtId="176" fontId="9" fillId="6" borderId="29" xfId="0" applyNumberFormat="1" applyFont="1" applyFill="1" applyBorder="1" applyAlignment="1">
      <alignment horizontal="center" vertical="center" shrinkToFit="1"/>
    </xf>
    <xf numFmtId="177" fontId="9" fillId="2" borderId="54" xfId="0" applyNumberFormat="1" applyFont="1" applyFill="1" applyBorder="1" applyAlignment="1">
      <alignment vertical="center" shrinkToFit="1"/>
    </xf>
    <xf numFmtId="0" fontId="0" fillId="0" borderId="0" xfId="0" applyAlignment="1">
      <alignment vertical="top"/>
    </xf>
    <xf numFmtId="0" fontId="15" fillId="4" borderId="1" xfId="0" applyFont="1" applyFill="1" applyBorder="1" applyAlignment="1">
      <alignment horizontal="center" vertical="center" shrinkToFit="1"/>
    </xf>
    <xf numFmtId="0" fontId="15" fillId="4" borderId="29" xfId="0" applyFont="1" applyFill="1" applyBorder="1" applyAlignment="1">
      <alignment horizontal="center" vertical="center" shrinkToFit="1"/>
    </xf>
    <xf numFmtId="0" fontId="15" fillId="4" borderId="42" xfId="0" applyFont="1" applyFill="1" applyBorder="1" applyAlignment="1">
      <alignment horizontal="center" vertical="center" shrinkToFit="1"/>
    </xf>
    <xf numFmtId="0" fontId="15" fillId="4" borderId="28" xfId="0" applyFont="1" applyFill="1" applyBorder="1" applyAlignment="1">
      <alignment horizontal="center" vertical="center" shrinkToFit="1"/>
    </xf>
    <xf numFmtId="0" fontId="9" fillId="0" borderId="42" xfId="0" applyFont="1" applyBorder="1" applyAlignment="1" applyProtection="1">
      <alignment horizontal="center" vertical="center" shrinkToFit="1"/>
      <protection locked="0"/>
    </xf>
    <xf numFmtId="0" fontId="9" fillId="0" borderId="28" xfId="0" applyFont="1" applyBorder="1" applyAlignment="1" applyProtection="1">
      <alignment horizontal="center" vertical="center" shrinkToFit="1"/>
      <protection locked="0"/>
    </xf>
    <xf numFmtId="0" fontId="9" fillId="0" borderId="29" xfId="0" applyFont="1" applyBorder="1" applyAlignment="1" applyProtection="1">
      <alignment horizontal="center" vertical="center" shrinkToFit="1"/>
      <protection locked="0"/>
    </xf>
    <xf numFmtId="178" fontId="9" fillId="0" borderId="28" xfId="0" applyNumberFormat="1" applyFont="1" applyBorder="1" applyAlignment="1" applyProtection="1">
      <alignment horizontal="center" vertical="center" shrinkToFit="1"/>
      <protection locked="0"/>
    </xf>
    <xf numFmtId="178" fontId="9" fillId="0" borderId="1" xfId="0" applyNumberFormat="1" applyFont="1" applyBorder="1" applyAlignment="1" applyProtection="1">
      <alignment horizontal="center" vertical="center" shrinkToFit="1"/>
      <protection locked="0"/>
    </xf>
    <xf numFmtId="178" fontId="9" fillId="0" borderId="29" xfId="0" applyNumberFormat="1" applyFont="1" applyBorder="1" applyAlignment="1" applyProtection="1">
      <alignment horizontal="center" vertical="center" shrinkToFit="1"/>
      <protection locked="0"/>
    </xf>
    <xf numFmtId="178" fontId="9" fillId="0" borderId="42" xfId="0" applyNumberFormat="1" applyFont="1" applyBorder="1" applyAlignment="1" applyProtection="1">
      <alignment horizontal="center" vertical="center" shrinkToFit="1"/>
      <protection locked="0"/>
    </xf>
    <xf numFmtId="0" fontId="9" fillId="0" borderId="25" xfId="0" applyFont="1" applyBorder="1" applyAlignment="1" applyProtection="1">
      <alignment horizontal="center" vertical="center" shrinkToFit="1"/>
      <protection locked="0"/>
    </xf>
    <xf numFmtId="0" fontId="9" fillId="0" borderId="26" xfId="0" applyFont="1" applyBorder="1" applyAlignment="1" applyProtection="1">
      <alignment horizontal="center" vertical="center" shrinkToFit="1"/>
      <protection locked="0"/>
    </xf>
    <xf numFmtId="0" fontId="9" fillId="0" borderId="27" xfId="0" applyFont="1" applyBorder="1" applyAlignment="1" applyProtection="1">
      <alignment horizontal="center" vertical="center" shrinkToFit="1"/>
      <protection locked="0"/>
    </xf>
    <xf numFmtId="0" fontId="9" fillId="0" borderId="25" xfId="0" applyFont="1" applyBorder="1" applyAlignment="1" applyProtection="1">
      <alignment vertical="center" shrinkToFit="1"/>
      <protection locked="0"/>
    </xf>
    <xf numFmtId="0" fontId="9" fillId="0" borderId="26" xfId="0" applyFont="1" applyBorder="1" applyAlignment="1" applyProtection="1">
      <alignment vertical="center" shrinkToFit="1"/>
      <protection locked="0"/>
    </xf>
    <xf numFmtId="0" fontId="9" fillId="0" borderId="27" xfId="0" applyFont="1" applyBorder="1" applyAlignment="1" applyProtection="1">
      <alignment vertical="center" shrinkToFit="1"/>
      <protection locked="0"/>
    </xf>
    <xf numFmtId="0" fontId="9" fillId="0" borderId="28" xfId="0" applyFont="1" applyBorder="1" applyAlignment="1" applyProtection="1">
      <alignment vertical="center" shrinkToFit="1"/>
      <protection locked="0"/>
    </xf>
    <xf numFmtId="0" fontId="9" fillId="0" borderId="1" xfId="0" applyFont="1" applyBorder="1" applyAlignment="1" applyProtection="1">
      <alignment vertical="center" shrinkToFit="1"/>
      <protection locked="0"/>
    </xf>
    <xf numFmtId="0" fontId="9" fillId="0" borderId="29" xfId="0" applyFont="1" applyBorder="1" applyAlignment="1" applyProtection="1">
      <alignment vertical="center" shrinkToFit="1"/>
      <protection locked="0"/>
    </xf>
    <xf numFmtId="0" fontId="9" fillId="0" borderId="39" xfId="0" applyFont="1" applyBorder="1" applyAlignment="1" applyProtection="1">
      <alignment vertical="center" shrinkToFit="1"/>
      <protection locked="0"/>
    </xf>
    <xf numFmtId="0" fontId="9" fillId="0" borderId="40" xfId="0" applyFont="1" applyBorder="1" applyAlignment="1" applyProtection="1">
      <alignment vertical="center" shrinkToFit="1"/>
      <protection locked="0"/>
    </xf>
    <xf numFmtId="0" fontId="9" fillId="0" borderId="36" xfId="0" applyFont="1" applyBorder="1" applyAlignment="1" applyProtection="1">
      <alignment vertical="center" shrinkToFit="1"/>
      <protection locked="0"/>
    </xf>
    <xf numFmtId="178" fontId="16" fillId="0" borderId="28" xfId="0" applyNumberFormat="1" applyFont="1" applyBorder="1" applyAlignment="1" applyProtection="1">
      <alignment horizontal="center" vertical="center" shrinkToFit="1"/>
      <protection locked="0"/>
    </xf>
    <xf numFmtId="178" fontId="16" fillId="0" borderId="1" xfId="0" applyNumberFormat="1" applyFont="1" applyBorder="1" applyAlignment="1" applyProtection="1">
      <alignment horizontal="center" vertical="center" shrinkToFit="1"/>
      <protection locked="0"/>
    </xf>
    <xf numFmtId="178" fontId="16" fillId="0" borderId="29" xfId="0" applyNumberFormat="1" applyFont="1" applyBorder="1" applyAlignment="1" applyProtection="1">
      <alignment horizontal="center" vertical="center" shrinkToFit="1"/>
      <protection locked="0"/>
    </xf>
    <xf numFmtId="178" fontId="16" fillId="0" borderId="42" xfId="0" applyNumberFormat="1" applyFont="1" applyBorder="1" applyAlignment="1" applyProtection="1">
      <alignment horizontal="center" vertical="center" shrinkToFit="1"/>
      <protection locked="0"/>
    </xf>
    <xf numFmtId="0" fontId="0" fillId="4" borderId="1" xfId="0" applyFill="1" applyBorder="1" applyAlignment="1">
      <alignment horizontal="center" vertical="center"/>
    </xf>
    <xf numFmtId="0" fontId="0" fillId="4" borderId="0" xfId="0" applyFill="1" applyAlignment="1">
      <alignment horizontal="center" vertical="center"/>
    </xf>
    <xf numFmtId="0" fontId="0" fillId="3" borderId="1" xfId="0" applyFill="1" applyBorder="1">
      <alignment vertical="center"/>
    </xf>
    <xf numFmtId="0" fontId="9" fillId="3" borderId="0" xfId="0" applyFont="1" applyFill="1" applyAlignment="1">
      <alignment horizontal="center" vertical="center" shrinkToFit="1"/>
    </xf>
    <xf numFmtId="178" fontId="9" fillId="6" borderId="0" xfId="0" applyNumberFormat="1" applyFont="1" applyFill="1" applyAlignment="1">
      <alignment horizontal="center" vertical="center" shrinkToFit="1"/>
    </xf>
    <xf numFmtId="176" fontId="9" fillId="6" borderId="0" xfId="0" applyNumberFormat="1" applyFont="1" applyFill="1" applyAlignment="1">
      <alignment horizontal="center" vertical="center" shrinkToFit="1"/>
    </xf>
    <xf numFmtId="178" fontId="9" fillId="2" borderId="30" xfId="0" applyNumberFormat="1" applyFont="1" applyFill="1" applyBorder="1" applyAlignment="1">
      <alignment horizontal="center" vertical="center" shrinkToFit="1"/>
    </xf>
    <xf numFmtId="178" fontId="9" fillId="2" borderId="2" xfId="0" applyNumberFormat="1" applyFont="1" applyFill="1" applyBorder="1" applyAlignment="1">
      <alignment horizontal="center" vertical="center" shrinkToFit="1"/>
    </xf>
    <xf numFmtId="0" fontId="9" fillId="0" borderId="1" xfId="0" applyFont="1" applyBorder="1" applyAlignment="1">
      <alignment horizontal="center" vertical="center" shrinkToFit="1"/>
    </xf>
    <xf numFmtId="0" fontId="9" fillId="7" borderId="1" xfId="0" applyFont="1" applyFill="1" applyBorder="1" applyAlignment="1">
      <alignment horizontal="center" vertical="center" shrinkToFit="1"/>
    </xf>
    <xf numFmtId="178" fontId="9" fillId="3" borderId="28" xfId="0" applyNumberFormat="1" applyFont="1" applyFill="1" applyBorder="1" applyAlignment="1">
      <alignment horizontal="center" vertical="center" shrinkToFit="1"/>
    </xf>
    <xf numFmtId="178" fontId="9" fillId="3" borderId="1" xfId="0" applyNumberFormat="1" applyFont="1" applyFill="1" applyBorder="1" applyAlignment="1">
      <alignment horizontal="center" vertical="center" shrinkToFit="1"/>
    </xf>
    <xf numFmtId="178" fontId="9" fillId="3" borderId="29" xfId="0" applyNumberFormat="1" applyFont="1" applyFill="1" applyBorder="1" applyAlignment="1">
      <alignment horizontal="center" vertical="center" shrinkToFit="1"/>
    </xf>
    <xf numFmtId="178" fontId="9" fillId="3" borderId="42" xfId="0" applyNumberFormat="1" applyFont="1" applyFill="1" applyBorder="1" applyAlignment="1">
      <alignment horizontal="center" vertical="center" shrinkToFit="1"/>
    </xf>
    <xf numFmtId="0" fontId="9" fillId="0" borderId="4" xfId="0" applyFont="1" applyBorder="1" applyAlignment="1" applyProtection="1">
      <alignment horizontal="center" vertical="center" shrinkToFit="1"/>
      <protection locked="0"/>
    </xf>
    <xf numFmtId="0" fontId="9" fillId="3" borderId="31" xfId="0" applyFont="1" applyFill="1" applyBorder="1" applyAlignment="1">
      <alignment horizontal="center" vertical="center" shrinkToFit="1"/>
    </xf>
    <xf numFmtId="178" fontId="0" fillId="2" borderId="1" xfId="0" applyNumberFormat="1" applyFill="1" applyBorder="1" applyAlignment="1">
      <alignment horizontal="center" vertical="center" shrinkToFit="1"/>
    </xf>
    <xf numFmtId="178" fontId="0" fillId="2" borderId="63" xfId="0" applyNumberFormat="1" applyFill="1" applyBorder="1" applyAlignment="1">
      <alignment horizontal="center" vertical="center" shrinkToFit="1"/>
    </xf>
    <xf numFmtId="180" fontId="9" fillId="0" borderId="1" xfId="0" applyNumberFormat="1" applyFont="1" applyBorder="1" applyAlignment="1" applyProtection="1">
      <alignment horizontal="center" vertical="center" shrinkToFit="1"/>
      <protection locked="0"/>
    </xf>
    <xf numFmtId="180" fontId="9" fillId="0" borderId="29" xfId="0" applyNumberFormat="1" applyFont="1" applyBorder="1" applyAlignment="1" applyProtection="1">
      <alignment horizontal="center" vertical="center" shrinkToFit="1"/>
      <protection locked="0"/>
    </xf>
    <xf numFmtId="180" fontId="9" fillId="0" borderId="4" xfId="0" applyNumberFormat="1" applyFont="1" applyBorder="1" applyAlignment="1" applyProtection="1">
      <alignment horizontal="center" vertical="center" shrinkToFit="1"/>
      <protection locked="0"/>
    </xf>
    <xf numFmtId="0" fontId="9" fillId="0" borderId="4" xfId="0" applyFont="1" applyBorder="1" applyAlignment="1">
      <alignment horizontal="center" vertical="center" shrinkToFit="1"/>
    </xf>
    <xf numFmtId="178" fontId="16" fillId="0" borderId="4" xfId="0" applyNumberFormat="1" applyFont="1" applyBorder="1" applyAlignment="1" applyProtection="1">
      <alignment horizontal="center" vertical="center" shrinkToFit="1"/>
      <protection locked="0"/>
    </xf>
    <xf numFmtId="178" fontId="9" fillId="0" borderId="4" xfId="0" applyNumberFormat="1" applyFont="1" applyBorder="1" applyAlignment="1" applyProtection="1">
      <alignment horizontal="center" vertical="center" shrinkToFit="1"/>
      <protection locked="0"/>
    </xf>
    <xf numFmtId="180" fontId="9" fillId="0" borderId="28" xfId="0" applyNumberFormat="1" applyFont="1" applyBorder="1" applyAlignment="1" applyProtection="1">
      <alignment horizontal="center" vertical="center" shrinkToFit="1"/>
      <protection locked="0"/>
    </xf>
    <xf numFmtId="180" fontId="9" fillId="0" borderId="42" xfId="0" applyNumberFormat="1" applyFont="1" applyBorder="1" applyAlignment="1" applyProtection="1">
      <alignment horizontal="center" vertical="center" shrinkToFit="1"/>
      <protection locked="0"/>
    </xf>
    <xf numFmtId="0" fontId="9" fillId="0" borderId="42" xfId="0" applyFont="1" applyBorder="1" applyAlignment="1">
      <alignment horizontal="center" vertical="center" shrinkToFit="1"/>
    </xf>
    <xf numFmtId="0" fontId="9" fillId="3" borderId="64" xfId="0" applyFont="1" applyFill="1" applyBorder="1" applyAlignment="1">
      <alignment horizontal="center" vertical="center" shrinkToFit="1"/>
    </xf>
    <xf numFmtId="178" fontId="0" fillId="0" borderId="1" xfId="0" applyNumberFormat="1" applyBorder="1" applyAlignment="1">
      <alignment horizontal="center" vertical="center" shrinkToFit="1"/>
    </xf>
    <xf numFmtId="0" fontId="9" fillId="0" borderId="46" xfId="0" applyFont="1" applyBorder="1" applyAlignment="1" applyProtection="1">
      <alignment horizontal="center" vertical="center" shrinkToFit="1"/>
      <protection locked="0"/>
    </xf>
    <xf numFmtId="0" fontId="9" fillId="0" borderId="47" xfId="0" applyFont="1" applyBorder="1" applyAlignment="1" applyProtection="1">
      <alignment horizontal="center" vertical="center" shrinkToFit="1"/>
      <protection locked="0"/>
    </xf>
    <xf numFmtId="178" fontId="9" fillId="0" borderId="0" xfId="0" applyNumberFormat="1" applyFont="1" applyAlignment="1">
      <alignment horizontal="center" vertical="center" shrinkToFit="1"/>
    </xf>
    <xf numFmtId="178" fontId="0" fillId="2" borderId="0" xfId="0" applyNumberFormat="1" applyFill="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70" xfId="0" applyFont="1" applyBorder="1" applyAlignment="1">
      <alignment horizontal="center" vertical="center" shrinkToFit="1"/>
    </xf>
    <xf numFmtId="0" fontId="9" fillId="3" borderId="0" xfId="0" applyFont="1" applyFill="1" applyAlignment="1">
      <alignment horizontal="center" vertical="center" wrapText="1" shrinkToFit="1"/>
    </xf>
    <xf numFmtId="0" fontId="9" fillId="3" borderId="0" xfId="0" applyFont="1" applyFill="1" applyAlignment="1">
      <alignment horizontal="left" vertical="center"/>
    </xf>
    <xf numFmtId="178" fontId="9" fillId="3" borderId="0" xfId="0" applyNumberFormat="1" applyFont="1" applyFill="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8" fillId="3" borderId="0" xfId="0" applyFont="1" applyFill="1" applyAlignment="1">
      <alignment horizontal="center" vertical="center" shrinkToFit="1"/>
    </xf>
    <xf numFmtId="184" fontId="9" fillId="2" borderId="0" xfId="0" applyNumberFormat="1" applyFont="1" applyFill="1" applyAlignment="1">
      <alignment horizontal="center" vertical="center" shrinkToFit="1"/>
    </xf>
    <xf numFmtId="184" fontId="9" fillId="2" borderId="1" xfId="0" applyNumberFormat="1" applyFont="1" applyFill="1" applyBorder="1" applyAlignment="1">
      <alignment vertical="center" shrinkToFit="1"/>
    </xf>
    <xf numFmtId="184" fontId="9" fillId="2" borderId="18" xfId="0" applyNumberFormat="1" applyFont="1" applyFill="1" applyBorder="1" applyAlignment="1">
      <alignment vertical="center" shrinkToFit="1"/>
    </xf>
    <xf numFmtId="184" fontId="9" fillId="2" borderId="4" xfId="0" applyNumberFormat="1" applyFont="1" applyFill="1" applyBorder="1" applyAlignment="1">
      <alignment vertical="center" shrinkToFit="1"/>
    </xf>
    <xf numFmtId="0" fontId="0" fillId="3" borderId="0" xfId="0" applyFill="1" applyAlignment="1">
      <alignment horizontal="center" vertical="center" shrinkToFit="1"/>
    </xf>
    <xf numFmtId="0" fontId="0" fillId="3" borderId="0" xfId="0" applyFill="1" applyAlignment="1">
      <alignment vertical="top" shrinkToFit="1"/>
    </xf>
    <xf numFmtId="0" fontId="0" fillId="3" borderId="0" xfId="0" applyFill="1" applyAlignment="1">
      <alignment horizontal="left" vertical="center" shrinkToFit="1"/>
    </xf>
    <xf numFmtId="0" fontId="0" fillId="3" borderId="0" xfId="0" applyFill="1" applyAlignment="1">
      <alignment vertical="center" shrinkToFit="1"/>
    </xf>
    <xf numFmtId="178" fontId="0" fillId="3" borderId="0" xfId="0" applyNumberFormat="1" applyFill="1" applyAlignment="1">
      <alignment horizontal="center" vertical="center" shrinkToFit="1"/>
    </xf>
    <xf numFmtId="180" fontId="9" fillId="0" borderId="3" xfId="0" applyNumberFormat="1" applyFont="1" applyBorder="1" applyAlignment="1" applyProtection="1">
      <alignment horizontal="center" vertical="center" shrinkToFit="1"/>
      <protection locked="0"/>
    </xf>
    <xf numFmtId="0" fontId="9" fillId="0" borderId="3" xfId="0" applyFont="1" applyBorder="1" applyAlignment="1">
      <alignment horizontal="center" vertical="center" shrinkToFit="1"/>
    </xf>
    <xf numFmtId="0" fontId="9" fillId="0" borderId="3" xfId="0" applyFont="1" applyBorder="1" applyAlignment="1" applyProtection="1">
      <alignment horizontal="center" vertical="center" shrinkToFit="1"/>
      <protection locked="0"/>
    </xf>
    <xf numFmtId="178" fontId="9" fillId="0" borderId="3" xfId="0" applyNumberFormat="1" applyFont="1" applyBorder="1" applyAlignment="1" applyProtection="1">
      <alignment horizontal="center" vertical="center" shrinkToFit="1"/>
      <protection locked="0"/>
    </xf>
    <xf numFmtId="178" fontId="16" fillId="0" borderId="3" xfId="0" applyNumberFormat="1" applyFont="1" applyBorder="1" applyAlignment="1" applyProtection="1">
      <alignment horizontal="center" vertical="center" shrinkToFit="1"/>
      <protection locked="0"/>
    </xf>
    <xf numFmtId="178" fontId="9" fillId="3" borderId="3" xfId="0" applyNumberFormat="1" applyFont="1" applyFill="1" applyBorder="1" applyAlignment="1">
      <alignment horizontal="center" vertical="center" shrinkToFit="1"/>
    </xf>
    <xf numFmtId="0" fontId="0" fillId="0" borderId="8" xfId="0" applyBorder="1" applyAlignment="1">
      <alignment horizontal="center" vertical="center"/>
    </xf>
    <xf numFmtId="0" fontId="9" fillId="0" borderId="33" xfId="0" applyFont="1" applyBorder="1" applyAlignment="1" applyProtection="1">
      <alignment horizontal="right" vertical="center" shrinkToFit="1"/>
      <protection locked="0"/>
    </xf>
    <xf numFmtId="0" fontId="9" fillId="0" borderId="57" xfId="0" applyFont="1" applyBorder="1" applyAlignment="1" applyProtection="1">
      <alignment horizontal="center" vertical="center" shrinkToFit="1"/>
      <protection locked="0"/>
    </xf>
    <xf numFmtId="0" fontId="9" fillId="0" borderId="67" xfId="0" applyFont="1" applyBorder="1" applyAlignment="1" applyProtection="1">
      <alignment horizontal="center" vertical="center" shrinkToFit="1"/>
      <protection locked="0"/>
    </xf>
    <xf numFmtId="0" fontId="9" fillId="0" borderId="68" xfId="0" applyFont="1" applyBorder="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57" xfId="0" applyFont="1" applyBorder="1" applyAlignment="1" applyProtection="1">
      <alignment vertical="center" shrinkToFit="1"/>
      <protection locked="0"/>
    </xf>
    <xf numFmtId="0" fontId="9" fillId="0" borderId="67" xfId="0" applyFont="1" applyBorder="1" applyAlignment="1" applyProtection="1">
      <alignment vertical="center" shrinkToFit="1"/>
      <protection locked="0"/>
    </xf>
    <xf numFmtId="0" fontId="9" fillId="0" borderId="68" xfId="0" applyFont="1" applyBorder="1" applyAlignment="1" applyProtection="1">
      <alignment vertical="center" shrinkToFit="1"/>
      <protection locked="0"/>
    </xf>
    <xf numFmtId="185" fontId="9" fillId="3" borderId="46" xfId="0" applyNumberFormat="1" applyFont="1" applyFill="1" applyBorder="1" applyAlignment="1">
      <alignment horizontal="center" vertical="center" shrinkToFit="1"/>
    </xf>
    <xf numFmtId="183" fontId="19" fillId="0" borderId="1" xfId="0" applyNumberFormat="1" applyFont="1" applyBorder="1" applyAlignment="1">
      <alignment horizontal="center" vertical="center" shrinkToFit="1"/>
    </xf>
    <xf numFmtId="178" fontId="9" fillId="3" borderId="28" xfId="0" applyNumberFormat="1" applyFont="1" applyFill="1" applyBorder="1" applyAlignment="1" applyProtection="1">
      <alignment horizontal="center" vertical="center" shrinkToFit="1"/>
      <protection locked="0"/>
    </xf>
    <xf numFmtId="178" fontId="9" fillId="3" borderId="1" xfId="0" applyNumberFormat="1" applyFont="1" applyFill="1" applyBorder="1" applyAlignment="1" applyProtection="1">
      <alignment horizontal="center" vertical="center" shrinkToFit="1"/>
      <protection locked="0"/>
    </xf>
    <xf numFmtId="178" fontId="9" fillId="3" borderId="29" xfId="0" applyNumberFormat="1" applyFont="1" applyFill="1" applyBorder="1" applyAlignment="1" applyProtection="1">
      <alignment horizontal="center" vertical="center" shrinkToFit="1"/>
      <protection locked="0"/>
    </xf>
    <xf numFmtId="178" fontId="9" fillId="3" borderId="42" xfId="0" applyNumberFormat="1" applyFont="1" applyFill="1" applyBorder="1" applyAlignment="1" applyProtection="1">
      <alignment horizontal="center" vertical="center" shrinkToFit="1"/>
      <protection locked="0"/>
    </xf>
    <xf numFmtId="178" fontId="9" fillId="3" borderId="3" xfId="0" applyNumberFormat="1" applyFont="1" applyFill="1" applyBorder="1" applyAlignment="1" applyProtection="1">
      <alignment horizontal="center" vertical="center" shrinkToFit="1"/>
      <protection locked="0"/>
    </xf>
    <xf numFmtId="177" fontId="9" fillId="0" borderId="28" xfId="0" applyNumberFormat="1" applyFont="1" applyBorder="1" applyAlignment="1" applyProtection="1">
      <alignment horizontal="center" vertical="center" shrinkToFit="1"/>
      <protection locked="0"/>
    </xf>
    <xf numFmtId="177" fontId="9" fillId="0" borderId="1" xfId="0" applyNumberFormat="1" applyFont="1" applyBorder="1" applyAlignment="1" applyProtection="1">
      <alignment horizontal="center" vertical="center" shrinkToFit="1"/>
      <protection locked="0"/>
    </xf>
    <xf numFmtId="177" fontId="9" fillId="0" borderId="29" xfId="0" applyNumberFormat="1" applyFont="1" applyBorder="1" applyAlignment="1" applyProtection="1">
      <alignment horizontal="center" vertical="center" shrinkToFit="1"/>
      <protection locked="0"/>
    </xf>
    <xf numFmtId="177" fontId="9" fillId="0" borderId="42" xfId="0" applyNumberFormat="1" applyFont="1" applyBorder="1" applyAlignment="1" applyProtection="1">
      <alignment horizontal="center" vertical="center" shrinkToFit="1"/>
      <protection locked="0"/>
    </xf>
    <xf numFmtId="177" fontId="9" fillId="0" borderId="3" xfId="0" applyNumberFormat="1" applyFont="1" applyBorder="1" applyAlignment="1" applyProtection="1">
      <alignment horizontal="center" vertical="center" shrinkToFit="1"/>
      <protection locked="0"/>
    </xf>
    <xf numFmtId="177" fontId="9" fillId="0" borderId="4" xfId="0" applyNumberFormat="1" applyFont="1" applyBorder="1" applyAlignment="1" applyProtection="1">
      <alignment horizontal="center" vertical="center" shrinkToFit="1"/>
      <protection locked="0"/>
    </xf>
    <xf numFmtId="0" fontId="16" fillId="3" borderId="4" xfId="0" applyFont="1" applyFill="1" applyBorder="1">
      <alignment vertical="center"/>
    </xf>
    <xf numFmtId="0" fontId="9" fillId="3" borderId="4" xfId="0" applyFont="1" applyFill="1" applyBorder="1">
      <alignment vertical="center"/>
    </xf>
    <xf numFmtId="178" fontId="0" fillId="3" borderId="1" xfId="0" applyNumberFormat="1" applyFill="1" applyBorder="1">
      <alignment vertical="center"/>
    </xf>
    <xf numFmtId="178" fontId="0" fillId="3" borderId="1" xfId="0" applyNumberFormat="1" applyFill="1" applyBorder="1" applyAlignment="1">
      <alignment horizontal="center" vertical="center"/>
    </xf>
    <xf numFmtId="0" fontId="9" fillId="0" borderId="1" xfId="0" applyFont="1" applyBorder="1" applyAlignment="1" applyProtection="1">
      <alignment horizontal="center" vertical="center" shrinkToFit="1"/>
      <protection locked="0"/>
    </xf>
    <xf numFmtId="0" fontId="12" fillId="0" borderId="0" xfId="0" applyFont="1" applyAlignment="1">
      <alignment vertical="center" shrinkToFit="1"/>
    </xf>
    <xf numFmtId="0" fontId="9" fillId="0" borderId="9" xfId="0" applyFont="1" applyBorder="1" applyAlignment="1">
      <alignment vertical="center" shrinkToFit="1"/>
    </xf>
    <xf numFmtId="0" fontId="12" fillId="0" borderId="9" xfId="0" applyFont="1" applyBorder="1" applyAlignment="1">
      <alignment vertical="center" shrinkToFit="1"/>
    </xf>
    <xf numFmtId="0" fontId="12" fillId="0" borderId="70" xfId="0" applyFont="1" applyBorder="1" applyAlignment="1">
      <alignment vertical="center" shrinkToFit="1"/>
    </xf>
    <xf numFmtId="0" fontId="0" fillId="0" borderId="8" xfId="0" applyBorder="1">
      <alignment vertical="center"/>
    </xf>
    <xf numFmtId="0" fontId="0" fillId="0" borderId="11" xfId="0" applyBorder="1" applyAlignment="1">
      <alignment horizontal="center" vertical="center"/>
    </xf>
    <xf numFmtId="0" fontId="9" fillId="3" borderId="42" xfId="0" applyFont="1" applyFill="1" applyBorder="1" applyAlignment="1">
      <alignment horizontal="center" vertical="center" shrinkToFit="1"/>
    </xf>
    <xf numFmtId="0" fontId="9" fillId="3" borderId="28" xfId="0" applyFont="1" applyFill="1" applyBorder="1" applyAlignment="1">
      <alignment horizontal="center" vertical="center" shrinkToFit="1"/>
    </xf>
    <xf numFmtId="0" fontId="9" fillId="3" borderId="62" xfId="0" applyFont="1" applyFill="1" applyBorder="1" applyAlignment="1">
      <alignment horizontal="center" vertical="center" shrinkToFit="1"/>
    </xf>
    <xf numFmtId="0" fontId="9" fillId="3" borderId="30" xfId="0" applyFont="1" applyFill="1" applyBorder="1" applyAlignment="1">
      <alignment horizontal="center" vertical="center" shrinkToFit="1"/>
    </xf>
    <xf numFmtId="0" fontId="9" fillId="3" borderId="1"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9" fillId="3" borderId="54" xfId="0" applyFont="1" applyFill="1" applyBorder="1" applyAlignment="1">
      <alignment horizontal="center" vertical="center" shrinkToFit="1"/>
    </xf>
    <xf numFmtId="0" fontId="9" fillId="3" borderId="55" xfId="0" applyFont="1" applyFill="1" applyBorder="1" applyAlignment="1">
      <alignment horizontal="center" vertical="center" shrinkToFit="1"/>
    </xf>
    <xf numFmtId="0" fontId="0" fillId="3" borderId="1" xfId="0" applyFill="1" applyBorder="1" applyAlignment="1">
      <alignment horizontal="center" vertical="center"/>
    </xf>
    <xf numFmtId="0" fontId="9" fillId="0" borderId="40" xfId="0" applyFont="1" applyBorder="1" applyAlignment="1" applyProtection="1">
      <alignment horizontal="center" vertical="center" shrinkToFit="1"/>
      <protection locked="0"/>
    </xf>
    <xf numFmtId="0" fontId="9" fillId="3" borderId="35" xfId="0" applyFont="1" applyFill="1" applyBorder="1" applyAlignment="1">
      <alignment horizontal="left" vertical="center" shrinkToFit="1"/>
    </xf>
    <xf numFmtId="0" fontId="9" fillId="0" borderId="38" xfId="0" applyFont="1" applyBorder="1" applyAlignment="1" applyProtection="1">
      <alignment horizontal="center" vertical="center" shrinkToFit="1"/>
      <protection locked="0"/>
    </xf>
    <xf numFmtId="0" fontId="9" fillId="3" borderId="36" xfId="0" applyFont="1" applyFill="1" applyBorder="1" applyAlignment="1">
      <alignment horizontal="center" vertical="center" shrinkToFit="1"/>
    </xf>
    <xf numFmtId="0" fontId="9" fillId="3" borderId="27" xfId="0" applyFont="1" applyFill="1" applyBorder="1" applyAlignment="1">
      <alignment horizontal="center" vertical="center" shrinkToFit="1"/>
    </xf>
    <xf numFmtId="0" fontId="9" fillId="3" borderId="29" xfId="0" applyFont="1" applyFill="1" applyBorder="1" applyAlignment="1">
      <alignment horizontal="center" vertical="center" shrinkToFit="1"/>
    </xf>
    <xf numFmtId="0" fontId="9" fillId="3" borderId="2" xfId="0" applyFont="1" applyFill="1" applyBorder="1" applyAlignment="1">
      <alignment horizontal="center" vertical="center" shrinkToFit="1"/>
    </xf>
    <xf numFmtId="0" fontId="14" fillId="0" borderId="1" xfId="0" applyFont="1" applyBorder="1" applyAlignment="1">
      <alignment horizontal="center" vertical="center" wrapText="1"/>
    </xf>
    <xf numFmtId="0" fontId="9" fillId="6" borderId="1" xfId="0" applyFont="1" applyFill="1" applyBorder="1" applyAlignment="1">
      <alignment horizontal="center" vertical="center" shrinkToFit="1"/>
    </xf>
    <xf numFmtId="0" fontId="9" fillId="3" borderId="38" xfId="0" applyFont="1" applyFill="1" applyBorder="1" applyAlignment="1">
      <alignment horizontal="center" vertical="center" shrinkToFit="1"/>
    </xf>
    <xf numFmtId="178" fontId="0" fillId="0" borderId="4" xfId="0" applyNumberFormat="1" applyBorder="1" applyAlignment="1">
      <alignment horizontal="center" vertical="center" shrinkToFit="1"/>
    </xf>
    <xf numFmtId="178" fontId="0" fillId="2" borderId="4" xfId="0" applyNumberFormat="1" applyFill="1" applyBorder="1" applyAlignment="1">
      <alignment horizontal="center" vertical="center" shrinkToFit="1"/>
    </xf>
    <xf numFmtId="178" fontId="0" fillId="2" borderId="22" xfId="0" applyNumberFormat="1" applyFill="1" applyBorder="1" applyAlignment="1">
      <alignment horizontal="center" vertical="center" shrinkToFit="1"/>
    </xf>
    <xf numFmtId="0" fontId="19" fillId="0" borderId="65" xfId="0" applyFont="1" applyBorder="1" applyAlignment="1">
      <alignment horizontal="center" vertical="center"/>
    </xf>
    <xf numFmtId="0" fontId="7" fillId="0" borderId="65" xfId="0" applyFont="1" applyBorder="1" applyAlignment="1">
      <alignment horizontal="center" vertical="center"/>
    </xf>
    <xf numFmtId="0" fontId="7" fillId="0" borderId="1" xfId="0" applyFont="1" applyBorder="1" applyAlignment="1">
      <alignment horizontal="center" vertical="center"/>
    </xf>
    <xf numFmtId="183" fontId="19" fillId="0" borderId="1" xfId="0" applyNumberFormat="1" applyFont="1" applyBorder="1" applyAlignment="1">
      <alignment vertical="center" shrinkToFit="1"/>
    </xf>
    <xf numFmtId="178" fontId="9" fillId="2" borderId="4" xfId="0" applyNumberFormat="1" applyFont="1" applyFill="1" applyBorder="1" applyAlignment="1">
      <alignment horizontal="center" vertical="center" shrinkToFit="1"/>
    </xf>
    <xf numFmtId="178" fontId="9" fillId="2" borderId="19" xfId="0" applyNumberFormat="1" applyFont="1" applyFill="1" applyBorder="1" applyAlignment="1">
      <alignment horizontal="center" vertical="center" shrinkToFit="1"/>
    </xf>
    <xf numFmtId="178" fontId="0" fillId="2" borderId="21" xfId="0" applyNumberFormat="1" applyFill="1" applyBorder="1" applyAlignment="1">
      <alignment horizontal="center" vertical="center" shrinkToFit="1"/>
    </xf>
    <xf numFmtId="0" fontId="9" fillId="3" borderId="15" xfId="0" applyFont="1" applyFill="1" applyBorder="1" applyAlignment="1">
      <alignment vertical="center" shrinkToFit="1"/>
    </xf>
    <xf numFmtId="178" fontId="20" fillId="0" borderId="1" xfId="0" applyNumberFormat="1" applyFont="1" applyBorder="1" applyAlignment="1" applyProtection="1">
      <alignment horizontal="center" vertical="center"/>
      <protection locked="0"/>
    </xf>
    <xf numFmtId="0" fontId="0" fillId="0" borderId="29" xfId="0" applyBorder="1" applyProtection="1">
      <alignment vertical="center"/>
      <protection locked="0"/>
    </xf>
    <xf numFmtId="0" fontId="9" fillId="3" borderId="14" xfId="0" applyFont="1" applyFill="1" applyBorder="1" applyAlignment="1">
      <alignment horizontal="center" vertical="center" shrinkToFit="1"/>
    </xf>
    <xf numFmtId="0" fontId="9" fillId="3" borderId="73" xfId="0" applyFont="1" applyFill="1" applyBorder="1" applyAlignment="1">
      <alignment horizontal="center" vertical="center" shrinkToFit="1"/>
    </xf>
    <xf numFmtId="179" fontId="9" fillId="0" borderId="69" xfId="0" applyNumberFormat="1" applyFont="1" applyBorder="1" applyAlignment="1">
      <alignment horizontal="center" vertical="center" shrinkToFit="1"/>
    </xf>
    <xf numFmtId="178" fontId="8" fillId="0" borderId="4" xfId="0" applyNumberFormat="1" applyFont="1" applyBorder="1" applyAlignment="1">
      <alignment vertical="center" shrinkToFit="1"/>
    </xf>
    <xf numFmtId="178" fontId="8" fillId="0" borderId="1" xfId="0" applyNumberFormat="1" applyFont="1" applyBorder="1" applyAlignment="1">
      <alignment vertical="center" shrinkToFit="1"/>
    </xf>
    <xf numFmtId="178" fontId="8" fillId="0" borderId="29" xfId="0" applyNumberFormat="1" applyFont="1" applyBorder="1" applyAlignment="1">
      <alignment vertical="center" shrinkToFit="1"/>
    </xf>
    <xf numFmtId="178" fontId="8" fillId="0" borderId="19" xfId="0" applyNumberFormat="1" applyFont="1" applyBorder="1" applyAlignment="1">
      <alignment vertical="center" shrinkToFit="1"/>
    </xf>
    <xf numFmtId="178" fontId="8" fillId="0" borderId="2" xfId="0" applyNumberFormat="1" applyFont="1" applyBorder="1" applyAlignment="1">
      <alignment vertical="center" shrinkToFit="1"/>
    </xf>
    <xf numFmtId="178" fontId="8" fillId="0" borderId="36" xfId="0" applyNumberFormat="1" applyFont="1" applyBorder="1" applyAlignment="1">
      <alignment vertical="center" shrinkToFit="1"/>
    </xf>
    <xf numFmtId="0" fontId="0" fillId="4" borderId="1" xfId="0" applyFill="1" applyBorder="1" applyAlignment="1">
      <alignment horizontal="right" vertical="center"/>
    </xf>
    <xf numFmtId="0" fontId="8" fillId="0" borderId="11" xfId="0" applyFont="1" applyBorder="1">
      <alignment vertical="center"/>
    </xf>
    <xf numFmtId="0" fontId="9" fillId="0" borderId="11" xfId="0" applyFont="1" applyBorder="1" applyAlignment="1">
      <alignment horizontal="center" vertical="center"/>
    </xf>
    <xf numFmtId="0" fontId="9" fillId="9" borderId="26" xfId="0" applyFont="1" applyFill="1" applyBorder="1" applyAlignment="1">
      <alignment horizontal="center" vertical="center"/>
    </xf>
    <xf numFmtId="0" fontId="16" fillId="3" borderId="4" xfId="0" applyFont="1" applyFill="1" applyBorder="1" applyAlignment="1">
      <alignment horizontal="left" vertical="center"/>
    </xf>
    <xf numFmtId="0" fontId="16" fillId="3" borderId="47" xfId="0" applyFont="1" applyFill="1" applyBorder="1" applyAlignment="1">
      <alignment horizontal="left" vertical="center"/>
    </xf>
    <xf numFmtId="0" fontId="9" fillId="3" borderId="1" xfId="0" applyFont="1" applyFill="1" applyBorder="1">
      <alignment vertical="center"/>
    </xf>
    <xf numFmtId="0" fontId="9" fillId="3" borderId="29" xfId="0" applyFont="1" applyFill="1" applyBorder="1">
      <alignment vertical="center"/>
    </xf>
    <xf numFmtId="0" fontId="8" fillId="0" borderId="6" xfId="0" applyFont="1" applyBorder="1" applyAlignment="1">
      <alignment horizontal="center" vertical="center"/>
    </xf>
    <xf numFmtId="0" fontId="9" fillId="0" borderId="6" xfId="0" applyFont="1" applyBorder="1" applyAlignment="1">
      <alignment horizontal="center" vertical="center"/>
    </xf>
    <xf numFmtId="0" fontId="9" fillId="0" borderId="48"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0" fontId="0" fillId="0" borderId="0" xfId="0" applyProtection="1">
      <alignment vertical="center"/>
      <protection locked="0"/>
    </xf>
    <xf numFmtId="0" fontId="24" fillId="0" borderId="0" xfId="0" applyFont="1" applyAlignment="1">
      <alignment horizontal="left" vertical="center"/>
    </xf>
    <xf numFmtId="0" fontId="25" fillId="0" borderId="0" xfId="0" applyFont="1" applyAlignment="1">
      <alignment horizontal="left" vertical="center"/>
    </xf>
    <xf numFmtId="0" fontId="29"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right" vertical="center"/>
    </xf>
    <xf numFmtId="0" fontId="9" fillId="0" borderId="0" xfId="0" applyFont="1" applyAlignment="1">
      <alignment horizontal="center" vertical="center" textRotation="255" wrapText="1"/>
    </xf>
    <xf numFmtId="0" fontId="9" fillId="3" borderId="40" xfId="0" applyFont="1" applyFill="1" applyBorder="1" applyAlignment="1">
      <alignment horizontal="center" vertical="center" shrinkToFit="1"/>
    </xf>
    <xf numFmtId="0" fontId="9" fillId="3" borderId="48" xfId="0" applyFont="1" applyFill="1" applyBorder="1" applyAlignment="1">
      <alignment horizontal="center" vertical="center" shrinkToFit="1"/>
    </xf>
    <xf numFmtId="0" fontId="9" fillId="3" borderId="39" xfId="0" applyFont="1" applyFill="1" applyBorder="1" applyAlignment="1">
      <alignment horizontal="center" vertical="center" shrinkToFit="1"/>
    </xf>
    <xf numFmtId="0" fontId="9" fillId="3" borderId="26" xfId="2" applyFont="1" applyFill="1" applyBorder="1" applyAlignment="1">
      <alignment horizontal="center" vertical="center" shrinkToFit="1"/>
    </xf>
    <xf numFmtId="0" fontId="9" fillId="3" borderId="26" xfId="2" applyFont="1" applyFill="1" applyBorder="1" applyAlignment="1">
      <alignment vertical="center" shrinkToFit="1"/>
    </xf>
    <xf numFmtId="0" fontId="9" fillId="3" borderId="27" xfId="2" applyFont="1" applyFill="1" applyBorder="1" applyAlignment="1">
      <alignment horizontal="center" vertical="center" shrinkToFit="1"/>
    </xf>
    <xf numFmtId="0" fontId="9" fillId="0" borderId="0" xfId="2" applyFont="1" applyAlignment="1">
      <alignment vertical="center" shrinkToFit="1"/>
    </xf>
    <xf numFmtId="0" fontId="9" fillId="0" borderId="27" xfId="2" applyFont="1" applyBorder="1" applyAlignment="1" applyProtection="1">
      <alignment vertical="center" shrinkToFit="1"/>
      <protection locked="0"/>
    </xf>
    <xf numFmtId="0" fontId="31" fillId="0" borderId="0" xfId="2" applyFont="1"/>
    <xf numFmtId="0" fontId="9" fillId="0" borderId="0" xfId="2" applyFont="1" applyAlignment="1">
      <alignment horizontal="center" vertical="center" shrinkToFit="1"/>
    </xf>
    <xf numFmtId="184" fontId="8" fillId="0" borderId="4" xfId="0" applyNumberFormat="1" applyFont="1" applyBorder="1" applyAlignment="1">
      <alignment vertical="center" shrinkToFit="1"/>
    </xf>
    <xf numFmtId="0" fontId="9" fillId="3" borderId="1" xfId="2" applyFont="1" applyFill="1" applyBorder="1" applyAlignment="1">
      <alignment vertical="center" shrinkToFit="1"/>
    </xf>
    <xf numFmtId="184" fontId="8" fillId="0" borderId="47" xfId="0" applyNumberFormat="1" applyFont="1" applyBorder="1" applyAlignment="1">
      <alignment vertical="center" shrinkToFit="1"/>
    </xf>
    <xf numFmtId="0" fontId="9" fillId="0" borderId="29" xfId="2" applyFont="1" applyBorder="1" applyAlignment="1" applyProtection="1">
      <alignment vertical="center" shrinkToFit="1"/>
      <protection locked="0"/>
    </xf>
    <xf numFmtId="0" fontId="9" fillId="0" borderId="0" xfId="2" applyFont="1" applyAlignment="1" applyProtection="1">
      <alignment vertical="center" shrinkToFit="1"/>
      <protection locked="0"/>
    </xf>
    <xf numFmtId="0" fontId="9" fillId="0" borderId="36" xfId="2" applyFont="1" applyBorder="1" applyAlignment="1" applyProtection="1">
      <alignment vertical="center" shrinkToFit="1"/>
      <protection locked="0"/>
    </xf>
    <xf numFmtId="184" fontId="8" fillId="0" borderId="35" xfId="0" applyNumberFormat="1" applyFont="1" applyBorder="1" applyAlignment="1">
      <alignment vertical="center" shrinkToFit="1"/>
    </xf>
    <xf numFmtId="184" fontId="8" fillId="0" borderId="38" xfId="0" applyNumberFormat="1" applyFont="1" applyBorder="1" applyAlignment="1">
      <alignment vertical="center" shrinkToFit="1"/>
    </xf>
    <xf numFmtId="0" fontId="9" fillId="3" borderId="1" xfId="2" applyFont="1" applyFill="1" applyBorder="1" applyAlignment="1">
      <alignment horizontal="center" vertical="center" shrinkToFit="1"/>
    </xf>
    <xf numFmtId="184" fontId="8" fillId="0" borderId="4" xfId="0" applyNumberFormat="1" applyFont="1" applyBorder="1" applyAlignment="1">
      <alignment horizontal="center" vertical="center" shrinkToFit="1"/>
    </xf>
    <xf numFmtId="178" fontId="9" fillId="3" borderId="1" xfId="2" applyNumberFormat="1" applyFont="1" applyFill="1" applyBorder="1" applyAlignment="1">
      <alignment horizontal="center" vertical="center" shrinkToFit="1"/>
    </xf>
    <xf numFmtId="178" fontId="8" fillId="0" borderId="4" xfId="0" applyNumberFormat="1" applyFont="1" applyBorder="1" applyAlignment="1">
      <alignment horizontal="center" vertical="center" shrinkToFit="1"/>
    </xf>
    <xf numFmtId="178" fontId="16" fillId="3" borderId="1" xfId="2" applyNumberFormat="1" applyFont="1" applyFill="1" applyBorder="1" applyAlignment="1">
      <alignment horizontal="center" vertical="center" shrinkToFit="1"/>
    </xf>
    <xf numFmtId="0" fontId="9" fillId="3" borderId="1" xfId="2" applyFont="1" applyFill="1" applyBorder="1"/>
    <xf numFmtId="178" fontId="8" fillId="0" borderId="47" xfId="0" applyNumberFormat="1" applyFont="1" applyBorder="1" applyAlignment="1">
      <alignment horizontal="center" vertical="center" shrinkToFit="1"/>
    </xf>
    <xf numFmtId="0" fontId="9" fillId="3" borderId="75" xfId="2" applyFont="1" applyFill="1" applyBorder="1"/>
    <xf numFmtId="184" fontId="32" fillId="0" borderId="4" xfId="0" applyNumberFormat="1" applyFont="1" applyBorder="1" applyAlignment="1">
      <alignment horizontal="center" vertical="center" shrinkToFit="1"/>
    </xf>
    <xf numFmtId="184" fontId="32" fillId="0" borderId="47" xfId="0" applyNumberFormat="1" applyFont="1" applyBorder="1" applyAlignment="1">
      <alignment horizontal="center" vertical="center" shrinkToFit="1"/>
    </xf>
    <xf numFmtId="184" fontId="9" fillId="3" borderId="1" xfId="0" applyNumberFormat="1" applyFont="1" applyFill="1" applyBorder="1" applyAlignment="1">
      <alignment horizontal="center" vertical="center" shrinkToFit="1"/>
    </xf>
    <xf numFmtId="184" fontId="9" fillId="0" borderId="1" xfId="0" applyNumberFormat="1" applyFont="1" applyBorder="1" applyAlignment="1">
      <alignment horizontal="center" vertical="center" shrinkToFit="1"/>
    </xf>
    <xf numFmtId="184" fontId="9" fillId="0" borderId="29" xfId="0" applyNumberFormat="1" applyFont="1" applyBorder="1" applyAlignment="1">
      <alignment horizontal="center" vertical="center" shrinkToFit="1"/>
    </xf>
    <xf numFmtId="187" fontId="9" fillId="0" borderId="1" xfId="0" applyNumberFormat="1" applyFont="1" applyBorder="1" applyAlignment="1">
      <alignment horizontal="center" vertical="center" shrinkToFit="1"/>
    </xf>
    <xf numFmtId="187" fontId="9" fillId="0" borderId="29" xfId="0" applyNumberFormat="1" applyFont="1" applyBorder="1" applyAlignment="1">
      <alignment horizontal="center" vertical="center" shrinkToFit="1"/>
    </xf>
    <xf numFmtId="178" fontId="8" fillId="0" borderId="40" xfId="0" applyNumberFormat="1" applyFont="1" applyBorder="1" applyAlignment="1">
      <alignment horizontal="center" vertical="center" shrinkToFit="1"/>
    </xf>
    <xf numFmtId="178" fontId="8" fillId="0" borderId="35" xfId="0" applyNumberFormat="1" applyFont="1" applyBorder="1" applyAlignment="1">
      <alignment horizontal="center" vertical="center" shrinkToFit="1"/>
    </xf>
    <xf numFmtId="178" fontId="8" fillId="0" borderId="38" xfId="0" applyNumberFormat="1" applyFont="1" applyBorder="1" applyAlignment="1">
      <alignment horizontal="center" vertical="center" shrinkToFit="1"/>
    </xf>
    <xf numFmtId="178" fontId="9" fillId="6" borderId="28" xfId="2" applyNumberFormat="1" applyFont="1" applyFill="1" applyBorder="1" applyAlignment="1">
      <alignment horizontal="center" vertical="center" shrinkToFit="1"/>
    </xf>
    <xf numFmtId="0" fontId="9" fillId="0" borderId="1" xfId="2" applyFont="1" applyBorder="1" applyAlignment="1">
      <alignment vertical="center"/>
    </xf>
    <xf numFmtId="176" fontId="9" fillId="6" borderId="28" xfId="2" applyNumberFormat="1" applyFont="1" applyFill="1" applyBorder="1" applyAlignment="1">
      <alignment horizontal="center" vertical="center" shrinkToFit="1"/>
    </xf>
    <xf numFmtId="178" fontId="9" fillId="2" borderId="4" xfId="2" applyNumberFormat="1" applyFont="1" applyFill="1" applyBorder="1" applyAlignment="1">
      <alignment horizontal="center" vertical="center" shrinkToFit="1"/>
    </xf>
    <xf numFmtId="178" fontId="9" fillId="2" borderId="19" xfId="2" applyNumberFormat="1" applyFont="1" applyFill="1" applyBorder="1" applyAlignment="1">
      <alignment horizontal="center" vertical="center" shrinkToFit="1"/>
    </xf>
    <xf numFmtId="178" fontId="9" fillId="2" borderId="1" xfId="2" applyNumberFormat="1" applyFont="1" applyFill="1" applyBorder="1" applyAlignment="1">
      <alignment horizontal="center" vertical="center" shrinkToFit="1"/>
    </xf>
    <xf numFmtId="187" fontId="9" fillId="0" borderId="0" xfId="2" applyNumberFormat="1" applyFont="1" applyAlignment="1">
      <alignment horizontal="center" vertical="center"/>
    </xf>
    <xf numFmtId="178" fontId="9" fillId="2" borderId="0" xfId="2" applyNumberFormat="1" applyFont="1" applyFill="1" applyAlignment="1">
      <alignment horizontal="center" vertical="center" shrinkToFit="1"/>
    </xf>
    <xf numFmtId="0" fontId="9" fillId="3" borderId="43" xfId="0" applyFont="1" applyFill="1" applyBorder="1" applyAlignment="1">
      <alignment horizontal="center" vertical="center" shrinkToFit="1"/>
    </xf>
    <xf numFmtId="0" fontId="9" fillId="3" borderId="50" xfId="0" applyFont="1" applyFill="1" applyBorder="1" applyAlignment="1">
      <alignment horizontal="center" vertical="center" textRotation="255"/>
    </xf>
    <xf numFmtId="0" fontId="9" fillId="3" borderId="8" xfId="0" applyFont="1" applyFill="1" applyBorder="1" applyAlignment="1">
      <alignment horizontal="center" vertical="center" textRotation="255"/>
    </xf>
    <xf numFmtId="0" fontId="9" fillId="3" borderId="10" xfId="0" applyFont="1" applyFill="1" applyBorder="1" applyAlignment="1">
      <alignment horizontal="center" vertical="center" textRotation="255"/>
    </xf>
    <xf numFmtId="0" fontId="0" fillId="0" borderId="16" xfId="0" applyBorder="1" applyAlignment="1">
      <alignment horizontal="center" vertical="center"/>
    </xf>
    <xf numFmtId="0" fontId="9" fillId="0" borderId="16" xfId="0" applyFont="1" applyBorder="1" applyAlignment="1">
      <alignment horizontal="center" vertical="center" shrinkToFit="1"/>
    </xf>
    <xf numFmtId="0" fontId="34" fillId="0" borderId="0" xfId="0" applyFont="1" applyAlignment="1">
      <alignment horizontal="centerContinuous" vertical="center"/>
    </xf>
    <xf numFmtId="0" fontId="9" fillId="3" borderId="1" xfId="2" applyFont="1" applyFill="1" applyBorder="1" applyAlignment="1">
      <alignment horizontal="center" vertical="center" shrinkToFit="1"/>
    </xf>
    <xf numFmtId="0" fontId="9" fillId="3" borderId="28" xfId="2" applyFont="1" applyFill="1" applyBorder="1" applyAlignment="1">
      <alignment horizontal="center" vertical="center" shrinkToFit="1"/>
    </xf>
    <xf numFmtId="0" fontId="9" fillId="3" borderId="3" xfId="2" applyFont="1" applyFill="1" applyBorder="1" applyAlignment="1">
      <alignment horizontal="center" vertical="center" shrinkToFit="1"/>
    </xf>
    <xf numFmtId="0" fontId="9" fillId="3" borderId="39" xfId="2" applyFont="1" applyFill="1" applyBorder="1" applyAlignment="1">
      <alignment horizontal="center" vertical="center" shrinkToFit="1"/>
    </xf>
    <xf numFmtId="0" fontId="9" fillId="3" borderId="40" xfId="2" applyFont="1" applyFill="1" applyBorder="1" applyAlignment="1">
      <alignment horizontal="center" vertical="center" shrinkToFit="1"/>
    </xf>
    <xf numFmtId="0" fontId="9" fillId="3" borderId="28" xfId="0" applyFont="1" applyFill="1" applyBorder="1" applyAlignment="1">
      <alignment horizontal="center" vertical="center" shrinkToFit="1"/>
    </xf>
    <xf numFmtId="0" fontId="9" fillId="3" borderId="1"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9" fillId="3" borderId="28" xfId="2" applyFont="1" applyFill="1" applyBorder="1" applyAlignment="1">
      <alignment horizontal="center" vertical="center"/>
    </xf>
    <xf numFmtId="0" fontId="9" fillId="3" borderId="1" xfId="2" applyFont="1" applyFill="1" applyBorder="1" applyAlignment="1">
      <alignment horizontal="center" vertical="center"/>
    </xf>
    <xf numFmtId="0" fontId="9" fillId="3" borderId="1" xfId="2" applyFont="1" applyFill="1" applyBorder="1" applyAlignment="1">
      <alignment horizontal="center" vertical="center" wrapText="1"/>
    </xf>
    <xf numFmtId="0" fontId="9" fillId="3" borderId="58" xfId="2" applyFont="1" applyFill="1" applyBorder="1" applyAlignment="1">
      <alignment horizontal="center" vertical="center" shrinkToFit="1"/>
    </xf>
    <xf numFmtId="0" fontId="9" fillId="3" borderId="75" xfId="2" applyFont="1" applyFill="1" applyBorder="1" applyAlignment="1">
      <alignment horizontal="center" vertical="center" shrinkToFit="1"/>
    </xf>
    <xf numFmtId="0" fontId="9" fillId="3" borderId="61" xfId="0" applyFont="1" applyFill="1" applyBorder="1" applyAlignment="1">
      <alignment horizontal="center" vertical="center" shrinkToFit="1"/>
    </xf>
    <xf numFmtId="0" fontId="9" fillId="3" borderId="18" xfId="0" applyFont="1" applyFill="1" applyBorder="1" applyAlignment="1">
      <alignment horizontal="center" vertical="center" shrinkToFit="1"/>
    </xf>
    <xf numFmtId="0" fontId="9" fillId="3" borderId="4" xfId="0" applyFont="1" applyFill="1" applyBorder="1" applyAlignment="1">
      <alignment horizontal="center" vertical="center" shrinkToFit="1"/>
    </xf>
    <xf numFmtId="0" fontId="9" fillId="3" borderId="33" xfId="0" applyFont="1" applyFill="1" applyBorder="1" applyAlignment="1">
      <alignment horizontal="center" vertical="center" shrinkToFit="1"/>
    </xf>
    <xf numFmtId="0" fontId="9" fillId="3" borderId="34" xfId="0" applyFont="1" applyFill="1" applyBorder="1" applyAlignment="1">
      <alignment horizontal="center" vertical="center" shrinkToFit="1"/>
    </xf>
    <xf numFmtId="0" fontId="9" fillId="3" borderId="35" xfId="0" applyFont="1" applyFill="1" applyBorder="1" applyAlignment="1">
      <alignment horizontal="center" vertical="center" shrinkToFit="1"/>
    </xf>
    <xf numFmtId="0" fontId="9" fillId="6" borderId="1" xfId="2" applyFont="1" applyFill="1" applyBorder="1" applyAlignment="1">
      <alignment horizontal="center" vertical="center" shrinkToFit="1"/>
    </xf>
    <xf numFmtId="0" fontId="9" fillId="6" borderId="3" xfId="2" applyFont="1" applyFill="1" applyBorder="1" applyAlignment="1">
      <alignment horizontal="center" vertical="center" shrinkToFit="1"/>
    </xf>
    <xf numFmtId="0" fontId="31" fillId="3" borderId="25" xfId="2" applyFont="1" applyFill="1" applyBorder="1" applyAlignment="1">
      <alignment horizontal="center" vertical="center" shrinkToFit="1"/>
    </xf>
    <xf numFmtId="0" fontId="9" fillId="3" borderId="26" xfId="2" applyFont="1" applyFill="1" applyBorder="1" applyAlignment="1">
      <alignment horizontal="center" vertical="center" shrinkToFit="1"/>
    </xf>
    <xf numFmtId="0" fontId="9" fillId="6" borderId="3" xfId="0" applyFont="1" applyFill="1" applyBorder="1" applyAlignment="1">
      <alignment horizontal="center" vertical="center" shrinkToFit="1"/>
    </xf>
    <xf numFmtId="0" fontId="9" fillId="6" borderId="18" xfId="0" applyFont="1" applyFill="1" applyBorder="1" applyAlignment="1">
      <alignment horizontal="center" vertical="center" shrinkToFit="1"/>
    </xf>
    <xf numFmtId="0" fontId="9" fillId="6" borderId="47" xfId="0" applyFont="1" applyFill="1" applyBorder="1" applyAlignment="1">
      <alignment horizontal="center" vertical="center" shrinkToFit="1"/>
    </xf>
    <xf numFmtId="0" fontId="15" fillId="3" borderId="3" xfId="0" applyFont="1" applyFill="1" applyBorder="1" applyAlignment="1">
      <alignment horizontal="center" vertical="center" wrapText="1" shrinkToFit="1"/>
    </xf>
    <xf numFmtId="0" fontId="15" fillId="3" borderId="4" xfId="0" applyFont="1" applyFill="1" applyBorder="1" applyAlignment="1">
      <alignment horizontal="center" vertical="center" wrapText="1" shrinkToFit="1"/>
    </xf>
    <xf numFmtId="0" fontId="31" fillId="3" borderId="26" xfId="2" applyFont="1" applyFill="1" applyBorder="1" applyAlignment="1">
      <alignment horizontal="center" vertical="center" shrinkToFit="1"/>
    </xf>
    <xf numFmtId="0" fontId="9" fillId="0" borderId="0" xfId="2" applyFont="1" applyAlignment="1">
      <alignment horizontal="center" vertical="center" shrinkToFit="1"/>
    </xf>
    <xf numFmtId="0" fontId="9" fillId="3" borderId="25" xfId="2" applyFont="1" applyFill="1" applyBorder="1" applyAlignment="1">
      <alignment horizontal="center" vertical="center" shrinkToFit="1"/>
    </xf>
    <xf numFmtId="0" fontId="0" fillId="3" borderId="26" xfId="0" applyFill="1" applyBorder="1" applyAlignment="1">
      <alignment horizontal="center" vertical="center" wrapText="1"/>
    </xf>
    <xf numFmtId="0" fontId="0" fillId="3" borderId="27" xfId="0" applyFill="1" applyBorder="1" applyAlignment="1">
      <alignment horizontal="center" vertical="center"/>
    </xf>
    <xf numFmtId="0" fontId="0" fillId="2" borderId="2" xfId="0" applyFill="1" applyBorder="1" applyAlignment="1">
      <alignment horizontal="center" vertical="center"/>
    </xf>
    <xf numFmtId="0" fontId="0" fillId="3" borderId="71" xfId="0" applyFill="1" applyBorder="1" applyAlignment="1">
      <alignment horizontal="center" vertical="center"/>
    </xf>
    <xf numFmtId="0" fontId="0" fillId="3" borderId="49" xfId="0" applyFill="1" applyBorder="1" applyAlignment="1">
      <alignment horizontal="center" vertical="center"/>
    </xf>
    <xf numFmtId="0" fontId="0" fillId="3" borderId="45" xfId="0" applyFill="1" applyBorder="1" applyAlignment="1">
      <alignment horizontal="center" vertical="center"/>
    </xf>
    <xf numFmtId="0" fontId="0" fillId="3" borderId="50" xfId="0" applyFill="1" applyBorder="1" applyAlignment="1">
      <alignment horizontal="center" vertical="center"/>
    </xf>
    <xf numFmtId="0" fontId="0" fillId="3" borderId="23" xfId="0" applyFill="1" applyBorder="1" applyAlignment="1">
      <alignment horizontal="center" vertical="center"/>
    </xf>
    <xf numFmtId="0" fontId="0" fillId="3" borderId="19" xfId="0" applyFill="1" applyBorder="1" applyAlignment="1">
      <alignment horizontal="center" vertical="center"/>
    </xf>
    <xf numFmtId="0" fontId="0" fillId="3" borderId="39" xfId="0" applyFill="1" applyBorder="1" applyAlignment="1">
      <alignment horizontal="center" vertical="center"/>
    </xf>
    <xf numFmtId="0" fontId="0" fillId="3" borderId="40" xfId="0" applyFill="1" applyBorder="1" applyAlignment="1">
      <alignment horizontal="center" vertical="center"/>
    </xf>
    <xf numFmtId="0" fontId="0" fillId="2" borderId="40" xfId="0" applyFill="1" applyBorder="1" applyAlignment="1">
      <alignment horizontal="center" vertical="center"/>
    </xf>
    <xf numFmtId="0" fontId="0" fillId="3" borderId="26" xfId="0" applyFill="1" applyBorder="1" applyAlignment="1">
      <alignment horizontal="center" vertical="center"/>
    </xf>
    <xf numFmtId="0" fontId="11" fillId="3" borderId="3"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8" fillId="3" borderId="57" xfId="0" applyFont="1" applyFill="1" applyBorder="1" applyAlignment="1">
      <alignment horizontal="center" vertical="center" textRotation="255"/>
    </xf>
    <xf numFmtId="0" fontId="8" fillId="3" borderId="58" xfId="0" applyFont="1" applyFill="1" applyBorder="1" applyAlignment="1">
      <alignment horizontal="center" vertical="center" textRotation="255"/>
    </xf>
    <xf numFmtId="0" fontId="0" fillId="0" borderId="59" xfId="0" applyBorder="1" applyAlignment="1">
      <alignment horizontal="center" vertical="center"/>
    </xf>
    <xf numFmtId="0" fontId="0" fillId="9" borderId="40" xfId="0" applyFill="1" applyBorder="1" applyAlignment="1">
      <alignment horizontal="center" vertical="center"/>
    </xf>
    <xf numFmtId="0" fontId="0" fillId="0" borderId="40" xfId="0" applyBorder="1" applyAlignment="1">
      <alignment horizontal="center" vertical="center"/>
    </xf>
    <xf numFmtId="0" fontId="0" fillId="0" borderId="36" xfId="0" applyBorder="1" applyAlignment="1">
      <alignment horizontal="center" vertical="center"/>
    </xf>
    <xf numFmtId="0" fontId="0" fillId="0" borderId="0" xfId="0" applyAlignment="1">
      <alignment horizontal="center" vertical="center"/>
    </xf>
    <xf numFmtId="0" fontId="0" fillId="0" borderId="0" xfId="0">
      <alignment vertical="center"/>
    </xf>
    <xf numFmtId="0" fontId="16" fillId="0" borderId="3" xfId="0" applyFont="1" applyBorder="1" applyAlignment="1">
      <alignment horizontal="center" vertical="center"/>
    </xf>
    <xf numFmtId="0" fontId="9" fillId="0" borderId="18" xfId="0" applyFont="1" applyBorder="1" applyAlignment="1">
      <alignment horizontal="center" vertical="center"/>
    </xf>
    <xf numFmtId="0" fontId="9" fillId="0" borderId="47" xfId="0" applyFont="1" applyBorder="1" applyAlignment="1">
      <alignment horizontal="center" vertical="center"/>
    </xf>
    <xf numFmtId="0" fontId="8" fillId="0" borderId="26"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0" fillId="0" borderId="4" xfId="0" applyBorder="1" applyAlignment="1">
      <alignment horizontal="center" vertical="center"/>
    </xf>
    <xf numFmtId="0" fontId="0" fillId="0" borderId="18" xfId="0" applyBorder="1" applyAlignment="1">
      <alignment horizontal="center" vertical="center"/>
    </xf>
    <xf numFmtId="14" fontId="16" fillId="0" borderId="44" xfId="0" applyNumberFormat="1" applyFont="1" applyBorder="1" applyAlignment="1" applyProtection="1">
      <alignment horizontal="center" vertical="center"/>
      <protection locked="0"/>
    </xf>
    <xf numFmtId="14" fontId="0" fillId="0" borderId="49" xfId="0" applyNumberFormat="1" applyBorder="1" applyAlignment="1">
      <alignment horizontal="center" vertical="center"/>
    </xf>
    <xf numFmtId="14" fontId="0" fillId="0" borderId="45" xfId="0" applyNumberFormat="1" applyBorder="1" applyAlignment="1">
      <alignment horizontal="center" vertical="center"/>
    </xf>
    <xf numFmtId="0" fontId="0" fillId="2" borderId="3" xfId="0" applyFill="1" applyBorder="1" applyAlignment="1">
      <alignment horizontal="center" vertical="center"/>
    </xf>
    <xf numFmtId="0" fontId="0" fillId="2" borderId="18" xfId="0" applyFill="1" applyBorder="1" applyAlignment="1">
      <alignment horizontal="center" vertical="center"/>
    </xf>
    <xf numFmtId="0" fontId="0" fillId="2" borderId="4" xfId="0" applyFill="1" applyBorder="1" applyAlignment="1">
      <alignment horizontal="center" vertical="center"/>
    </xf>
    <xf numFmtId="0" fontId="16" fillId="3" borderId="3"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8" xfId="0" applyFont="1" applyFill="1" applyBorder="1" applyAlignment="1">
      <alignment horizontal="center" vertical="center"/>
    </xf>
    <xf numFmtId="0" fontId="8" fillId="9" borderId="24" xfId="0" applyFont="1" applyFill="1" applyBorder="1" applyAlignment="1">
      <alignment horizontal="center" vertical="center"/>
    </xf>
    <xf numFmtId="0" fontId="9" fillId="9" borderId="23" xfId="0" applyFont="1" applyFill="1" applyBorder="1" applyAlignment="1">
      <alignment horizontal="center" vertical="center"/>
    </xf>
    <xf numFmtId="0" fontId="9" fillId="9" borderId="19" xfId="0" applyFont="1" applyFill="1" applyBorder="1" applyAlignment="1">
      <alignment horizontal="center" vertical="center"/>
    </xf>
    <xf numFmtId="0" fontId="8" fillId="3" borderId="5" xfId="0" applyFont="1" applyFill="1" applyBorder="1" applyAlignment="1">
      <alignment horizontal="center" vertical="center" textRotation="255" wrapText="1"/>
    </xf>
    <xf numFmtId="0" fontId="9" fillId="3" borderId="8" xfId="0" applyFont="1" applyFill="1" applyBorder="1" applyAlignment="1">
      <alignment horizontal="center" vertical="center" textRotation="255"/>
    </xf>
    <xf numFmtId="0" fontId="0" fillId="0" borderId="8" xfId="0" applyBorder="1" applyAlignment="1">
      <alignment horizontal="center" vertical="center"/>
    </xf>
    <xf numFmtId="0" fontId="0" fillId="0" borderId="10" xfId="0" applyBorder="1" applyAlignment="1">
      <alignment horizontal="center" vertical="center"/>
    </xf>
    <xf numFmtId="0" fontId="8" fillId="9" borderId="48" xfId="0" applyFont="1" applyFill="1" applyBorder="1" applyAlignment="1">
      <alignment horizontal="center" vertical="center"/>
    </xf>
    <xf numFmtId="0" fontId="9" fillId="9" borderId="34" xfId="0" applyFont="1" applyFill="1" applyBorder="1" applyAlignment="1">
      <alignment horizontal="center" vertical="center"/>
    </xf>
    <xf numFmtId="185" fontId="9" fillId="0" borderId="3" xfId="0" applyNumberFormat="1" applyFont="1" applyBorder="1" applyAlignment="1">
      <alignment horizontal="center" vertical="center"/>
    </xf>
    <xf numFmtId="178" fontId="8" fillId="2" borderId="24" xfId="0" applyNumberFormat="1" applyFont="1" applyFill="1" applyBorder="1" applyAlignment="1">
      <alignment horizontal="center" vertical="center"/>
    </xf>
    <xf numFmtId="178" fontId="8" fillId="2" borderId="19" xfId="0" applyNumberFormat="1" applyFont="1" applyFill="1" applyBorder="1" applyAlignment="1">
      <alignment horizontal="center" vertical="center"/>
    </xf>
    <xf numFmtId="0" fontId="28" fillId="9" borderId="24" xfId="0" applyFont="1" applyFill="1" applyBorder="1" applyAlignment="1">
      <alignment horizontal="center" vertical="center"/>
    </xf>
    <xf numFmtId="0" fontId="11" fillId="9" borderId="23" xfId="0" applyFont="1" applyFill="1" applyBorder="1" applyAlignment="1">
      <alignment horizontal="center" vertical="center"/>
    </xf>
    <xf numFmtId="0" fontId="11" fillId="9" borderId="19" xfId="0" applyFont="1" applyFill="1" applyBorder="1" applyAlignment="1">
      <alignment horizontal="center" vertical="center"/>
    </xf>
    <xf numFmtId="185" fontId="9" fillId="0" borderId="44" xfId="0" applyNumberFormat="1" applyFont="1"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178" fontId="8" fillId="2" borderId="51" xfId="0" applyNumberFormat="1" applyFont="1" applyFill="1" applyBorder="1" applyAlignment="1">
      <alignment horizontal="center" vertical="center"/>
    </xf>
    <xf numFmtId="185" fontId="8" fillId="2" borderId="48" xfId="0" applyNumberFormat="1" applyFont="1" applyFill="1" applyBorder="1" applyAlignment="1">
      <alignment horizontal="center" vertical="center"/>
    </xf>
    <xf numFmtId="185" fontId="8" fillId="2" borderId="34" xfId="0" applyNumberFormat="1" applyFont="1" applyFill="1" applyBorder="1" applyAlignment="1">
      <alignment horizontal="center" vertical="center"/>
    </xf>
    <xf numFmtId="0" fontId="9" fillId="9" borderId="48" xfId="0" applyFont="1" applyFill="1" applyBorder="1" applyAlignment="1">
      <alignment horizontal="center" vertical="center"/>
    </xf>
    <xf numFmtId="185" fontId="8" fillId="2" borderId="48" xfId="0" quotePrefix="1" applyNumberFormat="1" applyFont="1" applyFill="1" applyBorder="1" applyAlignment="1">
      <alignment horizontal="center" vertical="center"/>
    </xf>
    <xf numFmtId="185" fontId="8" fillId="2" borderId="38" xfId="0" applyNumberFormat="1" applyFont="1" applyFill="1" applyBorder="1" applyAlignment="1">
      <alignment horizontal="center" vertical="center"/>
    </xf>
    <xf numFmtId="0" fontId="0" fillId="0" borderId="45" xfId="0" applyBorder="1" applyAlignment="1">
      <alignment horizontal="center" vertical="center"/>
    </xf>
    <xf numFmtId="0" fontId="0" fillId="3" borderId="19" xfId="0" applyFill="1" applyBorder="1" applyAlignment="1">
      <alignment horizontal="center" vertical="center" shrinkToFit="1"/>
    </xf>
    <xf numFmtId="0" fontId="0" fillId="3" borderId="2" xfId="0" applyFill="1" applyBorder="1" applyAlignment="1">
      <alignment horizontal="center" vertical="center" shrinkToFit="1"/>
    </xf>
    <xf numFmtId="178" fontId="9" fillId="0" borderId="2" xfId="0" applyNumberFormat="1" applyFont="1" applyBorder="1" applyAlignment="1">
      <alignment horizontal="center" vertical="center"/>
    </xf>
    <xf numFmtId="0" fontId="16" fillId="0" borderId="1"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3" borderId="1"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49" xfId="0" applyFont="1" applyFill="1" applyBorder="1" applyAlignment="1">
      <alignment horizontal="center" vertical="center"/>
    </xf>
    <xf numFmtId="0" fontId="0" fillId="0" borderId="49" xfId="0" applyBorder="1" applyAlignment="1">
      <alignment horizontal="center" vertical="center"/>
    </xf>
    <xf numFmtId="178" fontId="9" fillId="0" borderId="1" xfId="0" applyNumberFormat="1" applyFont="1" applyBorder="1" applyAlignment="1">
      <alignment horizontal="center" vertical="center"/>
    </xf>
    <xf numFmtId="178" fontId="9" fillId="0" borderId="29" xfId="0" applyNumberFormat="1" applyFont="1" applyBorder="1" applyAlignment="1">
      <alignment horizontal="center" vertical="center"/>
    </xf>
    <xf numFmtId="0" fontId="9" fillId="0" borderId="29" xfId="0"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3" borderId="4" xfId="0" applyFont="1" applyFill="1" applyBorder="1" applyAlignment="1">
      <alignment horizontal="center" vertical="center"/>
    </xf>
    <xf numFmtId="0" fontId="9" fillId="0" borderId="1" xfId="0" applyFont="1" applyBorder="1" applyAlignment="1" applyProtection="1">
      <alignment horizontal="right" vertical="center"/>
      <protection locked="0"/>
    </xf>
    <xf numFmtId="0" fontId="16" fillId="0" borderId="1" xfId="0" applyFont="1" applyBorder="1" applyAlignment="1" applyProtection="1">
      <alignment horizontal="right" vertical="center"/>
      <protection locked="0"/>
    </xf>
    <xf numFmtId="0" fontId="16" fillId="0" borderId="3" xfId="0" applyFont="1" applyBorder="1" applyAlignment="1" applyProtection="1">
      <alignment horizontal="right" vertical="center"/>
      <protection locked="0"/>
    </xf>
    <xf numFmtId="0" fontId="16" fillId="0" borderId="4" xfId="0" applyFont="1" applyBorder="1" applyAlignment="1" applyProtection="1">
      <alignment horizontal="right" vertical="center"/>
      <protection locked="0"/>
    </xf>
    <xf numFmtId="0" fontId="14" fillId="3" borderId="4" xfId="0" applyFont="1" applyFill="1" applyBorder="1" applyAlignment="1">
      <alignment horizontal="center" vertical="center" wrapText="1"/>
    </xf>
    <xf numFmtId="0" fontId="14"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29" xfId="0" applyFont="1" applyBorder="1" applyAlignment="1">
      <alignment horizontal="center" vertical="center"/>
    </xf>
    <xf numFmtId="0" fontId="9" fillId="3" borderId="40" xfId="0" applyFont="1" applyFill="1" applyBorder="1" applyAlignment="1">
      <alignment horizontal="center" vertical="center" shrinkToFit="1"/>
    </xf>
    <xf numFmtId="0" fontId="0" fillId="0" borderId="1" xfId="0" applyBorder="1" applyAlignment="1" applyProtection="1">
      <alignment horizontal="center" vertical="center"/>
      <protection locked="0"/>
    </xf>
    <xf numFmtId="0" fontId="0" fillId="10" borderId="40" xfId="0" applyFill="1" applyBorder="1" applyAlignment="1">
      <alignment horizontal="center" vertical="center"/>
    </xf>
    <xf numFmtId="0" fontId="9" fillId="9" borderId="3" xfId="0" applyFont="1" applyFill="1" applyBorder="1" applyAlignment="1">
      <alignment horizontal="center" vertical="center"/>
    </xf>
    <xf numFmtId="0" fontId="0" fillId="0" borderId="18" xfId="0" applyBorder="1">
      <alignment vertical="center"/>
    </xf>
    <xf numFmtId="0" fontId="0" fillId="0" borderId="4" xfId="0" applyBorder="1">
      <alignment vertical="center"/>
    </xf>
    <xf numFmtId="0" fontId="0" fillId="0" borderId="3" xfId="0" applyBorder="1" applyProtection="1">
      <alignment vertical="center"/>
      <protection locked="0"/>
    </xf>
    <xf numFmtId="0" fontId="0" fillId="0" borderId="18" xfId="0" applyBorder="1" applyProtection="1">
      <alignment vertical="center"/>
      <protection locked="0"/>
    </xf>
    <xf numFmtId="0" fontId="0" fillId="0" borderId="47" xfId="0" applyBorder="1" applyProtection="1">
      <alignment vertical="center"/>
      <protection locked="0"/>
    </xf>
    <xf numFmtId="0" fontId="0" fillId="0" borderId="48" xfId="0" applyBorder="1" applyProtection="1">
      <alignment vertical="center"/>
      <protection locked="0"/>
    </xf>
    <xf numFmtId="0" fontId="0" fillId="0" borderId="34" xfId="0" applyBorder="1" applyProtection="1">
      <alignment vertical="center"/>
      <protection locked="0"/>
    </xf>
    <xf numFmtId="0" fontId="0" fillId="0" borderId="38" xfId="0" applyBorder="1" applyProtection="1">
      <alignment vertical="center"/>
      <protection locked="0"/>
    </xf>
    <xf numFmtId="0" fontId="9" fillId="3" borderId="40" xfId="0" applyFont="1" applyFill="1" applyBorder="1" applyAlignment="1">
      <alignment horizontal="center" vertical="center"/>
    </xf>
    <xf numFmtId="0" fontId="9" fillId="3" borderId="36"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6" fillId="0" borderId="1" xfId="0" applyFont="1" applyBorder="1" applyAlignment="1">
      <alignment horizontal="center" vertical="center"/>
    </xf>
    <xf numFmtId="0" fontId="8" fillId="0" borderId="40" xfId="0" applyFont="1" applyBorder="1" applyAlignment="1">
      <alignment horizontal="center" vertical="center"/>
    </xf>
    <xf numFmtId="0" fontId="8" fillId="0" borderId="36" xfId="0" applyFont="1" applyBorder="1" applyAlignment="1">
      <alignment horizontal="center" vertical="center"/>
    </xf>
    <xf numFmtId="0" fontId="8" fillId="3" borderId="59" xfId="0" applyFont="1" applyFill="1" applyBorder="1" applyAlignment="1">
      <alignment horizontal="center" vertical="center" textRotation="255"/>
    </xf>
    <xf numFmtId="0" fontId="9" fillId="3" borderId="26" xfId="0" applyFont="1" applyFill="1" applyBorder="1" applyAlignment="1">
      <alignment horizontal="center" vertical="center" shrinkToFit="1"/>
    </xf>
    <xf numFmtId="0" fontId="8" fillId="0" borderId="1" xfId="0" applyFont="1" applyBorder="1" applyAlignment="1" applyProtection="1">
      <alignment horizontal="center" vertical="center"/>
      <protection locked="0"/>
    </xf>
    <xf numFmtId="0" fontId="8" fillId="0" borderId="29" xfId="0" applyFont="1" applyBorder="1" applyAlignment="1" applyProtection="1">
      <alignment horizontal="center" vertical="center"/>
      <protection locked="0"/>
    </xf>
    <xf numFmtId="0" fontId="8" fillId="0" borderId="1" xfId="0" applyFont="1" applyBorder="1" applyAlignment="1">
      <alignment horizontal="center" vertical="center"/>
    </xf>
    <xf numFmtId="0" fontId="8" fillId="0" borderId="29" xfId="0" applyFont="1" applyBorder="1" applyAlignment="1">
      <alignment horizontal="center" vertical="center"/>
    </xf>
    <xf numFmtId="56" fontId="0" fillId="0" borderId="3" xfId="0" applyNumberFormat="1" applyBorder="1" applyProtection="1">
      <alignment vertical="center"/>
      <protection locked="0"/>
    </xf>
    <xf numFmtId="0" fontId="0" fillId="0" borderId="34" xfId="0" applyBorder="1">
      <alignment vertical="center"/>
    </xf>
    <xf numFmtId="0" fontId="0" fillId="0" borderId="35" xfId="0" applyBorder="1">
      <alignment vertical="center"/>
    </xf>
    <xf numFmtId="176" fontId="9" fillId="6" borderId="3" xfId="0" applyNumberFormat="1" applyFont="1" applyFill="1" applyBorder="1" applyAlignment="1">
      <alignment horizontal="center" vertical="center" shrinkToFit="1"/>
    </xf>
    <xf numFmtId="176" fontId="9" fillId="6" borderId="18" xfId="0" applyNumberFormat="1" applyFont="1" applyFill="1" applyBorder="1" applyAlignment="1">
      <alignment horizontal="center" vertical="center" shrinkToFit="1"/>
    </xf>
    <xf numFmtId="176" fontId="9" fillId="6" borderId="4" xfId="0" applyNumberFormat="1" applyFont="1" applyFill="1" applyBorder="1" applyAlignment="1">
      <alignment horizontal="center" vertical="center" shrinkToFit="1"/>
    </xf>
    <xf numFmtId="178" fontId="16" fillId="0" borderId="48" xfId="0" applyNumberFormat="1" applyFont="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178" fontId="9" fillId="0" borderId="31" xfId="0" applyNumberFormat="1" applyFont="1" applyBorder="1" applyAlignment="1">
      <alignment horizontal="center" vertical="center"/>
    </xf>
    <xf numFmtId="0" fontId="0" fillId="3" borderId="4" xfId="0" applyFill="1" applyBorder="1" applyAlignment="1">
      <alignment horizontal="center" vertical="center"/>
    </xf>
    <xf numFmtId="0" fontId="0" fillId="3" borderId="1" xfId="0" applyFill="1" applyBorder="1" applyAlignment="1">
      <alignment horizontal="center" vertical="center"/>
    </xf>
    <xf numFmtId="178" fontId="9" fillId="2" borderId="3" xfId="0" applyNumberFormat="1" applyFont="1" applyFill="1" applyBorder="1" applyAlignment="1">
      <alignment horizontal="center" vertical="center"/>
    </xf>
    <xf numFmtId="178" fontId="9" fillId="2" borderId="18" xfId="0" applyNumberFormat="1" applyFont="1" applyFill="1" applyBorder="1" applyAlignment="1">
      <alignment horizontal="center" vertical="center"/>
    </xf>
    <xf numFmtId="178" fontId="9" fillId="2" borderId="4" xfId="0" applyNumberFormat="1" applyFont="1" applyFill="1" applyBorder="1" applyAlignment="1">
      <alignment horizontal="center" vertical="center"/>
    </xf>
    <xf numFmtId="0" fontId="9" fillId="2" borderId="3"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4" xfId="0" applyFont="1" applyFill="1" applyBorder="1" applyAlignment="1">
      <alignment horizontal="center" vertical="center" shrinkToFit="1"/>
    </xf>
    <xf numFmtId="0" fontId="9" fillId="2" borderId="55" xfId="0" applyFont="1" applyFill="1" applyBorder="1" applyAlignment="1">
      <alignment horizontal="center" vertical="center" shrinkToFit="1"/>
    </xf>
    <xf numFmtId="0" fontId="9" fillId="3" borderId="52" xfId="0" applyFont="1" applyFill="1" applyBorder="1" applyAlignment="1">
      <alignment horizontal="center" vertical="center" shrinkToFit="1"/>
    </xf>
    <xf numFmtId="0" fontId="9" fillId="3" borderId="15" xfId="0" applyFont="1" applyFill="1" applyBorder="1" applyAlignment="1">
      <alignment horizontal="center" vertical="center" shrinkToFit="1"/>
    </xf>
    <xf numFmtId="0" fontId="9" fillId="3" borderId="53" xfId="0" applyFont="1" applyFill="1" applyBorder="1" applyAlignment="1">
      <alignment horizontal="center" vertical="center" shrinkToFit="1"/>
    </xf>
    <xf numFmtId="0" fontId="9" fillId="2" borderId="13" xfId="0" applyFont="1" applyFill="1" applyBorder="1" applyAlignment="1">
      <alignment horizontal="center" vertical="center" shrinkToFit="1"/>
    </xf>
    <xf numFmtId="0" fontId="9" fillId="2" borderId="53" xfId="0" applyFont="1" applyFill="1" applyBorder="1" applyAlignment="1">
      <alignment horizontal="center" vertical="center" shrinkToFit="1"/>
    </xf>
    <xf numFmtId="0" fontId="9" fillId="3" borderId="47" xfId="0" applyFont="1" applyFill="1" applyBorder="1" applyAlignment="1">
      <alignment horizontal="center" vertical="center" shrinkToFit="1"/>
    </xf>
    <xf numFmtId="0" fontId="9" fillId="2" borderId="15" xfId="0" applyFont="1" applyFill="1" applyBorder="1" applyAlignment="1">
      <alignment horizontal="center" vertical="center" shrinkToFit="1"/>
    </xf>
    <xf numFmtId="0" fontId="9" fillId="2" borderId="56" xfId="0" applyFont="1" applyFill="1" applyBorder="1" applyAlignment="1">
      <alignment horizontal="center" vertical="center" shrinkToFit="1"/>
    </xf>
    <xf numFmtId="0" fontId="9" fillId="8" borderId="3" xfId="0" applyFont="1" applyFill="1" applyBorder="1" applyAlignment="1">
      <alignment horizontal="center" vertical="center" shrinkToFit="1"/>
    </xf>
    <xf numFmtId="0" fontId="9" fillId="8" borderId="18" xfId="0" applyFont="1" applyFill="1" applyBorder="1" applyAlignment="1">
      <alignment horizontal="center" vertical="center" shrinkToFit="1"/>
    </xf>
    <xf numFmtId="0" fontId="9" fillId="8" borderId="47" xfId="0" applyFont="1" applyFill="1" applyBorder="1" applyAlignment="1">
      <alignment horizontal="center" vertical="center" shrinkToFit="1"/>
    </xf>
    <xf numFmtId="0" fontId="9" fillId="3" borderId="1" xfId="0" applyFont="1" applyFill="1" applyBorder="1" applyAlignment="1">
      <alignment horizontal="center" vertical="center" wrapText="1" shrinkToFit="1"/>
    </xf>
    <xf numFmtId="0" fontId="9" fillId="3" borderId="1"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8" fillId="3" borderId="1" xfId="0" applyFont="1" applyFill="1" applyBorder="1" applyAlignment="1">
      <alignment horizontal="center" vertical="center" shrinkToFit="1"/>
    </xf>
    <xf numFmtId="178" fontId="9" fillId="2" borderId="1" xfId="0" applyNumberFormat="1" applyFont="1" applyFill="1" applyBorder="1" applyAlignment="1">
      <alignment horizontal="center" vertical="center" shrinkToFit="1"/>
    </xf>
    <xf numFmtId="0" fontId="16" fillId="0" borderId="48" xfId="0" applyFont="1" applyBorder="1" applyAlignment="1" applyProtection="1">
      <alignment horizontal="center" vertical="center"/>
      <protection locked="0"/>
    </xf>
    <xf numFmtId="0" fontId="16" fillId="0" borderId="34" xfId="0" applyFont="1" applyBorder="1" applyAlignment="1" applyProtection="1">
      <alignment horizontal="center" vertical="center"/>
      <protection locked="0"/>
    </xf>
    <xf numFmtId="0" fontId="16" fillId="0" borderId="35" xfId="0" applyFont="1" applyBorder="1" applyAlignment="1" applyProtection="1">
      <alignment horizontal="center" vertical="center"/>
      <protection locked="0"/>
    </xf>
    <xf numFmtId="0" fontId="16" fillId="0" borderId="40" xfId="0" applyFont="1" applyBorder="1" applyAlignment="1">
      <alignment horizontal="center" vertical="center"/>
    </xf>
    <xf numFmtId="0" fontId="16" fillId="0" borderId="36" xfId="0" applyFont="1" applyBorder="1" applyAlignment="1">
      <alignment horizontal="center" vertical="center"/>
    </xf>
    <xf numFmtId="0" fontId="14" fillId="0" borderId="65"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3" xfId="0" applyBorder="1" applyAlignment="1">
      <alignment horizontal="center" vertical="center"/>
    </xf>
    <xf numFmtId="0" fontId="8"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5" xfId="0" applyFont="1" applyFill="1" applyBorder="1" applyAlignment="1">
      <alignment horizontal="center" vertical="center" textRotation="255" wrapText="1"/>
    </xf>
    <xf numFmtId="0" fontId="9" fillId="3" borderId="8" xfId="0" applyFont="1" applyFill="1" applyBorder="1" applyAlignment="1">
      <alignment horizontal="center" vertical="center" textRotation="255" wrapText="1"/>
    </xf>
    <xf numFmtId="0" fontId="9" fillId="3" borderId="10" xfId="0" applyFont="1" applyFill="1" applyBorder="1" applyAlignment="1">
      <alignment horizontal="center" vertical="center" textRotation="255" wrapText="1"/>
    </xf>
    <xf numFmtId="0" fontId="0" fillId="0" borderId="5" xfId="0" applyBorder="1" applyAlignment="1" applyProtection="1">
      <alignment horizontal="center" vertical="top"/>
      <protection locked="0"/>
    </xf>
    <xf numFmtId="0" fontId="0" fillId="0" borderId="6" xfId="0" applyBorder="1" applyAlignment="1" applyProtection="1">
      <alignment horizontal="center" vertical="top"/>
      <protection locked="0"/>
    </xf>
    <xf numFmtId="0" fontId="0" fillId="0" borderId="7" xfId="0" applyBorder="1" applyAlignment="1" applyProtection="1">
      <alignment horizontal="center" vertical="top"/>
      <protection locked="0"/>
    </xf>
    <xf numFmtId="0" fontId="0" fillId="0" borderId="8" xfId="0" applyBorder="1" applyAlignment="1" applyProtection="1">
      <alignment horizontal="center" vertical="top"/>
      <protection locked="0"/>
    </xf>
    <xf numFmtId="0" fontId="0" fillId="0" borderId="0" xfId="0" applyAlignment="1" applyProtection="1">
      <alignment horizontal="center" vertical="top"/>
      <protection locked="0"/>
    </xf>
    <xf numFmtId="0" fontId="0" fillId="0" borderId="9" xfId="0" applyBorder="1" applyAlignment="1" applyProtection="1">
      <alignment horizontal="center" vertical="top"/>
      <protection locked="0"/>
    </xf>
    <xf numFmtId="0" fontId="0" fillId="0" borderId="10" xfId="0" applyBorder="1" applyAlignment="1" applyProtection="1">
      <alignment horizontal="center" vertical="top"/>
      <protection locked="0"/>
    </xf>
    <xf numFmtId="0" fontId="0" fillId="0" borderId="11" xfId="0" applyBorder="1" applyAlignment="1" applyProtection="1">
      <alignment horizontal="center" vertical="top"/>
      <protection locked="0"/>
    </xf>
    <xf numFmtId="0" fontId="0" fillId="0" borderId="12" xfId="0" applyBorder="1" applyAlignment="1" applyProtection="1">
      <alignment horizontal="center" vertical="top"/>
      <protection locked="0"/>
    </xf>
    <xf numFmtId="0" fontId="8" fillId="3" borderId="45" xfId="0" applyFont="1" applyFill="1" applyBorder="1" applyAlignment="1">
      <alignment horizontal="center" vertical="center"/>
    </xf>
    <xf numFmtId="0" fontId="8" fillId="3" borderId="26" xfId="0" applyFont="1" applyFill="1" applyBorder="1" applyAlignment="1">
      <alignment horizontal="center" vertical="center"/>
    </xf>
    <xf numFmtId="14" fontId="9" fillId="7" borderId="26" xfId="0" applyNumberFormat="1" applyFont="1" applyFill="1" applyBorder="1" applyAlignment="1" applyProtection="1">
      <alignment horizontal="center" vertical="center"/>
      <protection locked="0"/>
    </xf>
    <xf numFmtId="0" fontId="9" fillId="7" borderId="26" xfId="0" applyFont="1" applyFill="1" applyBorder="1" applyAlignment="1" applyProtection="1">
      <alignment horizontal="center" vertical="center"/>
      <protection locked="0"/>
    </xf>
    <xf numFmtId="0" fontId="8" fillId="3" borderId="25" xfId="0" applyFont="1" applyFill="1" applyBorder="1" applyAlignment="1">
      <alignment horizontal="center" vertical="center" textRotation="255"/>
    </xf>
    <xf numFmtId="0" fontId="8" fillId="3" borderId="28" xfId="0" applyFont="1" applyFill="1" applyBorder="1" applyAlignment="1">
      <alignment horizontal="center" vertical="center" textRotation="255"/>
    </xf>
    <xf numFmtId="0" fontId="8" fillId="3" borderId="39" xfId="0" applyFont="1" applyFill="1" applyBorder="1" applyAlignment="1">
      <alignment horizontal="center" vertical="center" textRotation="255"/>
    </xf>
    <xf numFmtId="14" fontId="8" fillId="0" borderId="26" xfId="0" applyNumberFormat="1" applyFont="1" applyBorder="1" applyAlignment="1" applyProtection="1">
      <alignment horizontal="center" vertical="center"/>
      <protection locked="0"/>
    </xf>
    <xf numFmtId="14" fontId="8" fillId="0" borderId="26" xfId="0" applyNumberFormat="1" applyFont="1" applyBorder="1" applyAlignment="1">
      <alignment horizontal="center" vertical="center"/>
    </xf>
    <xf numFmtId="0" fontId="8" fillId="0" borderId="26" xfId="0" applyFont="1" applyBorder="1" applyAlignment="1">
      <alignment horizontal="center" vertical="center"/>
    </xf>
    <xf numFmtId="14" fontId="9" fillId="0" borderId="26" xfId="0" applyNumberFormat="1" applyFont="1" applyBorder="1" applyAlignment="1" applyProtection="1">
      <alignment horizontal="center" vertical="center"/>
      <protection locked="0"/>
    </xf>
    <xf numFmtId="0" fontId="9" fillId="0" borderId="26" xfId="0" applyFont="1" applyBorder="1" applyAlignment="1" applyProtection="1">
      <alignment horizontal="center" vertical="center"/>
      <protection locked="0"/>
    </xf>
    <xf numFmtId="0" fontId="8" fillId="3" borderId="27"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29" xfId="0" applyFont="1" applyFill="1" applyBorder="1" applyAlignment="1">
      <alignment horizontal="center" vertical="center"/>
    </xf>
    <xf numFmtId="0" fontId="9" fillId="9" borderId="33" xfId="0" applyFont="1" applyFill="1" applyBorder="1" applyAlignment="1">
      <alignment horizontal="center" vertical="center"/>
    </xf>
    <xf numFmtId="0" fontId="9" fillId="2" borderId="40" xfId="0" applyFont="1" applyFill="1" applyBorder="1" applyAlignment="1" applyProtection="1">
      <alignment horizontal="center" vertical="center"/>
      <protection locked="0"/>
    </xf>
    <xf numFmtId="0" fontId="9" fillId="2" borderId="36"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protection locked="0"/>
    </xf>
    <xf numFmtId="0" fontId="9" fillId="2" borderId="29" xfId="0" applyFont="1" applyFill="1" applyBorder="1" applyAlignment="1" applyProtection="1">
      <alignment horizontal="center" vertical="center"/>
      <protection locked="0"/>
    </xf>
    <xf numFmtId="0" fontId="9" fillId="3" borderId="48" xfId="0" applyFont="1" applyFill="1" applyBorder="1" applyAlignment="1">
      <alignment horizontal="center" vertical="center"/>
    </xf>
    <xf numFmtId="0" fontId="9" fillId="0" borderId="40" xfId="0" applyFont="1" applyBorder="1" applyAlignment="1">
      <alignment horizontal="center" vertical="center"/>
    </xf>
    <xf numFmtId="0" fontId="16" fillId="0" borderId="29" xfId="0" applyFont="1" applyBorder="1" applyAlignment="1">
      <alignment horizontal="center" vertical="center"/>
    </xf>
    <xf numFmtId="0" fontId="9" fillId="3" borderId="24"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2" xfId="0" applyFont="1" applyFill="1" applyBorder="1" applyAlignment="1">
      <alignment horizontal="center" vertical="center"/>
    </xf>
    <xf numFmtId="0" fontId="12" fillId="3" borderId="24" xfId="0" applyFont="1" applyFill="1" applyBorder="1" applyAlignment="1">
      <alignment horizontal="center" vertical="center" wrapText="1" shrinkToFit="1"/>
    </xf>
    <xf numFmtId="0" fontId="12" fillId="3" borderId="23" xfId="0" applyFont="1" applyFill="1" applyBorder="1" applyAlignment="1">
      <alignment horizontal="center" vertical="center" shrinkToFit="1"/>
    </xf>
    <xf numFmtId="0" fontId="12" fillId="3" borderId="51" xfId="0" applyFont="1" applyFill="1" applyBorder="1" applyAlignment="1">
      <alignment horizontal="center" vertical="center" shrinkToFit="1"/>
    </xf>
    <xf numFmtId="0" fontId="12" fillId="3" borderId="20" xfId="0" applyFont="1" applyFill="1" applyBorder="1" applyAlignment="1">
      <alignment horizontal="center" vertical="center" shrinkToFit="1"/>
    </xf>
    <xf numFmtId="0" fontId="12" fillId="3" borderId="21" xfId="0" applyFont="1" applyFill="1" applyBorder="1" applyAlignment="1">
      <alignment horizontal="center" vertical="center" shrinkToFit="1"/>
    </xf>
    <xf numFmtId="0" fontId="12" fillId="3" borderId="37" xfId="0" applyFont="1" applyFill="1" applyBorder="1" applyAlignment="1">
      <alignment horizontal="center" vertical="center" shrinkToFit="1"/>
    </xf>
    <xf numFmtId="0" fontId="8"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wrapText="1" shrinkToFit="1"/>
    </xf>
    <xf numFmtId="0" fontId="9" fillId="3" borderId="29" xfId="0" applyFont="1" applyFill="1" applyBorder="1" applyAlignment="1">
      <alignment horizontal="center" vertical="center" wrapText="1" shrinkToFit="1"/>
    </xf>
    <xf numFmtId="0" fontId="9" fillId="3" borderId="31" xfId="0" applyFont="1" applyFill="1" applyBorder="1" applyAlignment="1">
      <alignment horizontal="center" vertical="center" wrapText="1" shrinkToFit="1"/>
    </xf>
    <xf numFmtId="0" fontId="9" fillId="3" borderId="2" xfId="0" applyFont="1" applyFill="1" applyBorder="1" applyAlignment="1">
      <alignment horizontal="center" vertical="center"/>
    </xf>
    <xf numFmtId="0" fontId="9" fillId="3" borderId="26" xfId="0" applyFont="1" applyFill="1" applyBorder="1" applyAlignment="1">
      <alignment horizontal="center" vertical="center"/>
    </xf>
    <xf numFmtId="0" fontId="8" fillId="3" borderId="26"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xf>
    <xf numFmtId="0" fontId="9" fillId="3" borderId="48" xfId="0" applyFont="1" applyFill="1" applyBorder="1" applyAlignment="1">
      <alignment horizontal="center" vertical="center" shrinkToFit="1"/>
    </xf>
    <xf numFmtId="0" fontId="9" fillId="3" borderId="25"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3" borderId="45" xfId="0" applyFont="1" applyFill="1" applyBorder="1" applyAlignment="1">
      <alignment horizontal="center" vertical="center"/>
    </xf>
    <xf numFmtId="0" fontId="9" fillId="3" borderId="46" xfId="0" applyFont="1" applyFill="1" applyBorder="1" applyAlignment="1">
      <alignment horizontal="center" vertical="center"/>
    </xf>
    <xf numFmtId="0" fontId="9" fillId="3" borderId="25" xfId="0" applyFont="1" applyFill="1" applyBorder="1" applyAlignment="1">
      <alignment horizontal="center" vertical="center" textRotation="255"/>
    </xf>
    <xf numFmtId="0" fontId="9" fillId="3" borderId="28" xfId="0" applyFont="1" applyFill="1" applyBorder="1" applyAlignment="1">
      <alignment horizontal="center" vertical="center" textRotation="255"/>
    </xf>
    <xf numFmtId="0" fontId="9" fillId="3" borderId="39" xfId="0" applyFont="1" applyFill="1" applyBorder="1" applyAlignment="1">
      <alignment horizontal="center" vertical="center" textRotation="255"/>
    </xf>
    <xf numFmtId="0" fontId="9" fillId="0" borderId="3"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9" fillId="0" borderId="34" xfId="0" applyFont="1" applyBorder="1" applyAlignment="1" applyProtection="1">
      <alignment horizontal="center" vertical="center"/>
      <protection locked="0"/>
    </xf>
    <xf numFmtId="0" fontId="9" fillId="0" borderId="35" xfId="0" applyFont="1" applyBorder="1" applyAlignment="1" applyProtection="1">
      <alignment horizontal="center" vertical="center"/>
      <protection locked="0"/>
    </xf>
    <xf numFmtId="0" fontId="9" fillId="0" borderId="38" xfId="0" applyFont="1" applyBorder="1" applyAlignment="1" applyProtection="1">
      <alignment horizontal="center" vertical="center"/>
      <protection locked="0"/>
    </xf>
    <xf numFmtId="0" fontId="16" fillId="0" borderId="18"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9" fillId="3" borderId="25" xfId="0" applyFont="1" applyFill="1" applyBorder="1" applyAlignment="1">
      <alignment horizontal="center" vertical="center" textRotation="255" wrapText="1"/>
    </xf>
    <xf numFmtId="0" fontId="9" fillId="3" borderId="28" xfId="0" applyFont="1" applyFill="1" applyBorder="1" applyAlignment="1">
      <alignment horizontal="center" vertical="center" textRotation="255" wrapText="1"/>
    </xf>
    <xf numFmtId="0" fontId="9" fillId="3" borderId="39" xfId="0" applyFont="1" applyFill="1" applyBorder="1" applyAlignment="1">
      <alignment horizontal="center" vertical="center" textRotation="255" wrapText="1"/>
    </xf>
    <xf numFmtId="0" fontId="9" fillId="3" borderId="25" xfId="0" applyFont="1" applyFill="1" applyBorder="1" applyAlignment="1">
      <alignment horizontal="center" vertical="center" textRotation="255" shrinkToFit="1"/>
    </xf>
    <xf numFmtId="0" fontId="9" fillId="3" borderId="28" xfId="0" applyFont="1" applyFill="1" applyBorder="1" applyAlignment="1">
      <alignment horizontal="center" vertical="center" textRotation="255" shrinkToFit="1"/>
    </xf>
    <xf numFmtId="0" fontId="9" fillId="3" borderId="39" xfId="0" applyFont="1" applyFill="1" applyBorder="1" applyAlignment="1">
      <alignment horizontal="center" vertical="center" textRotation="255" shrinkToFit="1"/>
    </xf>
    <xf numFmtId="0" fontId="9" fillId="3" borderId="27" xfId="0" applyFont="1" applyFill="1" applyBorder="1" applyAlignment="1">
      <alignment horizontal="center" vertical="center" shrinkToFit="1"/>
    </xf>
    <xf numFmtId="185" fontId="9" fillId="0" borderId="3" xfId="0" applyNumberFormat="1" applyFont="1" applyBorder="1" applyAlignment="1">
      <alignment horizontal="center" vertical="center" shrinkToFit="1"/>
    </xf>
    <xf numFmtId="185" fontId="9" fillId="0" borderId="18" xfId="0" applyNumberFormat="1" applyFont="1" applyBorder="1" applyAlignment="1">
      <alignment horizontal="center" vertical="center" shrinkToFit="1"/>
    </xf>
    <xf numFmtId="185" fontId="9" fillId="0" borderId="47" xfId="0" applyNumberFormat="1" applyFont="1" applyBorder="1" applyAlignment="1">
      <alignment horizontal="center" vertical="center" shrinkToFit="1"/>
    </xf>
    <xf numFmtId="0" fontId="9" fillId="3" borderId="29" xfId="0" applyFont="1" applyFill="1" applyBorder="1" applyAlignment="1">
      <alignment horizontal="center" vertical="center" shrinkToFit="1"/>
    </xf>
    <xf numFmtId="0" fontId="9" fillId="0" borderId="1" xfId="0" applyFont="1" applyBorder="1" applyAlignment="1" applyProtection="1">
      <alignment horizontal="center" vertical="center" shrinkToFit="1"/>
      <protection locked="0"/>
    </xf>
    <xf numFmtId="14" fontId="9" fillId="0" borderId="1" xfId="0" applyNumberFormat="1" applyFont="1" applyBorder="1" applyAlignment="1" applyProtection="1">
      <alignment horizontal="center" vertical="center" shrinkToFit="1"/>
      <protection locked="0"/>
    </xf>
    <xf numFmtId="0" fontId="9" fillId="0" borderId="29" xfId="0" applyFont="1" applyBorder="1" applyAlignment="1" applyProtection="1">
      <alignment horizontal="center" vertical="center" shrinkToFit="1"/>
      <protection locked="0"/>
    </xf>
    <xf numFmtId="0" fontId="9" fillId="0" borderId="40"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24" xfId="0" applyFont="1" applyBorder="1" applyAlignment="1" applyProtection="1">
      <alignment horizontal="center" vertical="center"/>
      <protection locked="0"/>
    </xf>
    <xf numFmtId="0" fontId="9" fillId="0" borderId="23" xfId="0" applyFont="1" applyBorder="1" applyAlignment="1" applyProtection="1">
      <alignment horizontal="center" vertical="center"/>
      <protection locked="0"/>
    </xf>
    <xf numFmtId="0" fontId="9" fillId="0" borderId="51"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48" xfId="0" applyFont="1" applyBorder="1" applyAlignment="1">
      <alignment horizontal="center" vertical="center"/>
    </xf>
    <xf numFmtId="0" fontId="9" fillId="0" borderId="34" xfId="0" applyFont="1" applyBorder="1" applyAlignment="1">
      <alignment horizontal="center" vertical="center"/>
    </xf>
    <xf numFmtId="0" fontId="9" fillId="0" borderId="38" xfId="0" applyFont="1" applyBorder="1" applyAlignment="1">
      <alignment horizontal="center" vertical="center"/>
    </xf>
    <xf numFmtId="0" fontId="9" fillId="3" borderId="38" xfId="0" applyFont="1" applyFill="1" applyBorder="1" applyAlignment="1">
      <alignment horizontal="center" vertical="center" shrinkToFit="1"/>
    </xf>
    <xf numFmtId="0" fontId="9" fillId="0" borderId="1" xfId="0" applyFont="1" applyBorder="1" applyAlignment="1">
      <alignment horizontal="center" vertical="center" shrinkToFit="1"/>
    </xf>
    <xf numFmtId="0" fontId="9" fillId="0" borderId="29" xfId="0" applyFont="1" applyBorder="1" applyAlignment="1">
      <alignment horizontal="center" vertical="center" shrinkToFit="1"/>
    </xf>
    <xf numFmtId="0" fontId="9" fillId="3" borderId="57" xfId="0" applyFont="1" applyFill="1" applyBorder="1" applyAlignment="1">
      <alignment horizontal="center" vertical="center"/>
    </xf>
    <xf numFmtId="0" fontId="9" fillId="3" borderId="58" xfId="0" applyFont="1" applyFill="1" applyBorder="1" applyAlignment="1">
      <alignment horizontal="center" vertical="center"/>
    </xf>
    <xf numFmtId="0" fontId="9" fillId="3" borderId="59" xfId="0" applyFont="1" applyFill="1" applyBorder="1" applyAlignment="1">
      <alignment horizontal="center" vertical="center"/>
    </xf>
    <xf numFmtId="0" fontId="9" fillId="0" borderId="44" xfId="0" applyFont="1" applyBorder="1" applyAlignment="1" applyProtection="1">
      <alignment horizontal="center" vertical="center"/>
      <protection locked="0"/>
    </xf>
    <xf numFmtId="0" fontId="9" fillId="0" borderId="49" xfId="0" applyFont="1" applyBorder="1" applyAlignment="1" applyProtection="1">
      <alignment horizontal="center" vertical="center"/>
      <protection locked="0"/>
    </xf>
    <xf numFmtId="0" fontId="9" fillId="0" borderId="46" xfId="0" applyFont="1" applyBorder="1" applyAlignment="1" applyProtection="1">
      <alignment horizontal="center" vertical="center"/>
      <protection locked="0"/>
    </xf>
    <xf numFmtId="0" fontId="12" fillId="3" borderId="62" xfId="0" applyFont="1" applyFill="1" applyBorder="1" applyAlignment="1">
      <alignment horizontal="center" vertical="center" shrinkToFit="1"/>
    </xf>
    <xf numFmtId="0" fontId="12" fillId="3" borderId="30" xfId="0" applyFont="1" applyFill="1" applyBorder="1" applyAlignment="1">
      <alignment horizontal="center" vertical="center" shrinkToFit="1"/>
    </xf>
    <xf numFmtId="185" fontId="9" fillId="0" borderId="4" xfId="0" applyNumberFormat="1" applyFont="1" applyBorder="1" applyAlignment="1">
      <alignment horizontal="center" vertical="center" shrinkToFit="1"/>
    </xf>
    <xf numFmtId="0" fontId="12" fillId="0" borderId="43" xfId="0" applyFont="1" applyBorder="1" applyAlignment="1" applyProtection="1">
      <alignment horizontal="center" vertical="center" shrinkToFit="1"/>
      <protection locked="0"/>
    </xf>
    <xf numFmtId="0" fontId="12" fillId="0" borderId="39" xfId="0" applyFont="1" applyBorder="1" applyAlignment="1" applyProtection="1">
      <alignment horizontal="center" vertical="center" shrinkToFit="1"/>
      <protection locked="0"/>
    </xf>
    <xf numFmtId="0" fontId="12" fillId="0" borderId="6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9" fillId="3" borderId="16" xfId="0" applyFont="1" applyFill="1" applyBorder="1" applyAlignment="1">
      <alignment horizontal="center" vertical="center"/>
    </xf>
    <xf numFmtId="0" fontId="9" fillId="3" borderId="0" xfId="0" applyFont="1" applyFill="1" applyAlignment="1">
      <alignment horizontal="center" vertical="center"/>
    </xf>
    <xf numFmtId="0" fontId="9" fillId="3" borderId="66"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1" xfId="0" applyFont="1" applyFill="1" applyBorder="1" applyAlignment="1">
      <alignment horizontal="center" vertical="center"/>
    </xf>
    <xf numFmtId="0" fontId="9" fillId="3" borderId="72" xfId="0" applyFont="1" applyFill="1" applyBorder="1" applyAlignment="1">
      <alignment horizontal="center" vertical="center"/>
    </xf>
    <xf numFmtId="0" fontId="9" fillId="3" borderId="39" xfId="0" applyFont="1" applyFill="1" applyBorder="1" applyAlignment="1">
      <alignment horizontal="center" vertical="center" shrinkToFit="1"/>
    </xf>
    <xf numFmtId="178" fontId="9" fillId="3" borderId="40" xfId="0" applyNumberFormat="1" applyFont="1" applyFill="1" applyBorder="1" applyAlignment="1">
      <alignment horizontal="center" vertical="center" shrinkToFit="1"/>
    </xf>
    <xf numFmtId="187" fontId="9" fillId="0" borderId="48" xfId="0" applyNumberFormat="1" applyFont="1" applyBorder="1" applyAlignment="1">
      <alignment horizontal="center" vertical="center" shrinkToFit="1"/>
    </xf>
    <xf numFmtId="187" fontId="9" fillId="0" borderId="34" xfId="0" applyNumberFormat="1" applyFont="1" applyBorder="1" applyAlignment="1">
      <alignment horizontal="center" vertical="center" shrinkToFit="1"/>
    </xf>
    <xf numFmtId="187" fontId="9" fillId="0" borderId="35" xfId="0" applyNumberFormat="1" applyFont="1" applyBorder="1" applyAlignment="1">
      <alignment horizontal="center" vertical="center" shrinkToFit="1"/>
    </xf>
    <xf numFmtId="187" fontId="9" fillId="0" borderId="3" xfId="0" applyNumberFormat="1" applyFont="1" applyBorder="1" applyAlignment="1">
      <alignment horizontal="center" vertical="center" shrinkToFit="1"/>
    </xf>
    <xf numFmtId="187" fontId="9" fillId="0" borderId="18" xfId="0" applyNumberFormat="1" applyFont="1" applyBorder="1" applyAlignment="1">
      <alignment horizontal="center" vertical="center" shrinkToFit="1"/>
    </xf>
    <xf numFmtId="187" fontId="9" fillId="0" borderId="4" xfId="0" applyNumberFormat="1" applyFont="1" applyBorder="1" applyAlignment="1">
      <alignment horizontal="center" vertical="center" shrinkToFit="1"/>
    </xf>
    <xf numFmtId="0" fontId="9" fillId="3" borderId="62" xfId="0" applyFont="1" applyFill="1" applyBorder="1" applyAlignment="1">
      <alignment horizontal="center" vertical="center" shrinkToFit="1"/>
    </xf>
    <xf numFmtId="0" fontId="9" fillId="3" borderId="30" xfId="0" applyFont="1" applyFill="1" applyBorder="1" applyAlignment="1">
      <alignment horizontal="center" vertical="center" shrinkToFit="1"/>
    </xf>
    <xf numFmtId="0" fontId="9" fillId="0" borderId="9" xfId="0" applyFont="1" applyBorder="1" applyAlignment="1" applyProtection="1">
      <alignment horizontal="center" vertical="center" shrinkToFit="1"/>
      <protection locked="0"/>
    </xf>
    <xf numFmtId="0" fontId="9" fillId="0" borderId="70"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9" fillId="0" borderId="43" xfId="0" applyFont="1" applyBorder="1" applyAlignment="1" applyProtection="1">
      <alignment horizontal="center" vertical="center" shrinkToFit="1"/>
      <protection locked="0"/>
    </xf>
    <xf numFmtId="0" fontId="9" fillId="0" borderId="55" xfId="0" applyFont="1" applyBorder="1" applyAlignment="1" applyProtection="1">
      <alignment horizontal="center" vertical="center" shrinkToFit="1"/>
      <protection locked="0"/>
    </xf>
    <xf numFmtId="0" fontId="9" fillId="0" borderId="64" xfId="0" applyFont="1" applyBorder="1" applyAlignment="1" applyProtection="1">
      <alignment horizontal="center" vertical="center" shrinkToFit="1"/>
      <protection locked="0"/>
    </xf>
    <xf numFmtId="0" fontId="7" fillId="3" borderId="3"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9" fillId="3" borderId="41" xfId="0" applyFont="1" applyFill="1" applyBorder="1" applyAlignment="1">
      <alignment horizontal="center" vertical="center" shrinkToFit="1"/>
    </xf>
    <xf numFmtId="0" fontId="9" fillId="3" borderId="71" xfId="0" applyFont="1" applyFill="1" applyBorder="1" applyAlignment="1">
      <alignment horizontal="center" vertical="center" shrinkToFit="1"/>
    </xf>
    <xf numFmtId="0" fontId="9" fillId="3" borderId="55" xfId="0" applyFont="1" applyFill="1" applyBorder="1" applyAlignment="1">
      <alignment horizontal="center" vertical="center" wrapText="1" shrinkToFit="1"/>
    </xf>
    <xf numFmtId="0" fontId="9" fillId="3" borderId="64" xfId="0" applyFont="1" applyFill="1" applyBorder="1" applyAlignment="1">
      <alignment horizontal="center" vertical="center" wrapText="1" shrinkToFit="1"/>
    </xf>
    <xf numFmtId="0" fontId="9" fillId="3" borderId="27" xfId="0" applyFont="1" applyFill="1" applyBorder="1" applyAlignment="1">
      <alignment horizontal="center" vertical="center" wrapText="1" shrinkToFit="1"/>
    </xf>
    <xf numFmtId="0" fontId="9" fillId="3" borderId="41" xfId="0" applyFont="1" applyFill="1" applyBorder="1" applyAlignment="1">
      <alignment horizontal="center" vertical="center" wrapText="1" shrinkToFit="1"/>
    </xf>
    <xf numFmtId="0" fontId="9" fillId="3" borderId="25" xfId="0" applyFont="1" applyFill="1" applyBorder="1" applyAlignment="1">
      <alignment horizontal="center" vertical="center"/>
    </xf>
    <xf numFmtId="0" fontId="9" fillId="3" borderId="28"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9" xfId="0" applyFont="1" applyFill="1" applyBorder="1" applyAlignment="1">
      <alignment horizontal="center" vertical="center"/>
    </xf>
    <xf numFmtId="0" fontId="9" fillId="3" borderId="42" xfId="0" applyFont="1" applyFill="1" applyBorder="1" applyAlignment="1">
      <alignment horizontal="center" vertical="center" shrinkToFit="1"/>
    </xf>
    <xf numFmtId="0" fontId="9" fillId="0" borderId="42" xfId="0" applyFont="1" applyBorder="1" applyAlignment="1" applyProtection="1">
      <alignment horizontal="center" vertical="center" shrinkToFit="1"/>
      <protection locked="0"/>
    </xf>
    <xf numFmtId="0" fontId="9" fillId="0" borderId="28" xfId="0" applyFont="1" applyBorder="1" applyAlignment="1" applyProtection="1">
      <alignment horizontal="center" vertical="center" shrinkToFit="1"/>
      <protection locked="0"/>
    </xf>
    <xf numFmtId="0" fontId="9" fillId="3" borderId="70" xfId="0" applyFont="1" applyFill="1" applyBorder="1" applyAlignment="1">
      <alignment horizontal="center" vertical="center" shrinkToFit="1"/>
    </xf>
    <xf numFmtId="0" fontId="9" fillId="3" borderId="8" xfId="0" applyFont="1" applyFill="1" applyBorder="1" applyAlignment="1">
      <alignment horizontal="center" vertical="center" shrinkToFit="1"/>
    </xf>
    <xf numFmtId="0" fontId="9" fillId="0" borderId="31" xfId="0" applyFont="1" applyBorder="1" applyAlignment="1" applyProtection="1">
      <alignment horizontal="center" vertical="center" shrinkToFit="1"/>
      <protection locked="0"/>
    </xf>
    <xf numFmtId="0" fontId="9" fillId="0" borderId="62" xfId="0" applyFont="1" applyBorder="1" applyAlignment="1" applyProtection="1">
      <alignment horizontal="center" vertical="center" shrinkToFit="1"/>
      <protection locked="0"/>
    </xf>
    <xf numFmtId="0" fontId="9" fillId="0" borderId="50" xfId="0" applyFont="1" applyBorder="1" applyAlignment="1" applyProtection="1">
      <alignment horizontal="center" vertical="center" shrinkToFit="1"/>
      <protection locked="0"/>
    </xf>
    <xf numFmtId="0" fontId="9" fillId="3" borderId="14" xfId="0" applyFont="1" applyFill="1" applyBorder="1" applyAlignment="1">
      <alignment horizontal="center" vertical="center" shrinkToFit="1"/>
    </xf>
    <xf numFmtId="0" fontId="9" fillId="3" borderId="54" xfId="0" applyFont="1" applyFill="1" applyBorder="1" applyAlignment="1">
      <alignment horizontal="center" vertical="center" shrinkToFit="1"/>
    </xf>
    <xf numFmtId="185" fontId="9" fillId="0" borderId="54" xfId="0" applyNumberFormat="1" applyFont="1" applyBorder="1" applyAlignment="1">
      <alignment horizontal="center" vertical="center" shrinkToFit="1"/>
    </xf>
    <xf numFmtId="185" fontId="9" fillId="0" borderId="55" xfId="0" applyNumberFormat="1" applyFont="1" applyBorder="1" applyAlignment="1">
      <alignment horizontal="center" vertical="center" shrinkToFit="1"/>
    </xf>
    <xf numFmtId="177" fontId="9" fillId="0" borderId="54" xfId="0" applyNumberFormat="1"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56" xfId="0" applyFont="1" applyBorder="1" applyAlignment="1">
      <alignment horizontal="center" vertical="center" shrinkToFit="1"/>
    </xf>
    <xf numFmtId="0" fontId="15" fillId="0" borderId="5" xfId="0" applyFont="1" applyBorder="1" applyAlignment="1">
      <alignment horizontal="center" vertical="center" shrinkToFit="1"/>
    </xf>
    <xf numFmtId="0" fontId="15" fillId="0" borderId="6" xfId="0" applyFont="1" applyBorder="1" applyAlignment="1">
      <alignment horizontal="center" vertical="center" shrinkToFit="1"/>
    </xf>
    <xf numFmtId="0" fontId="10" fillId="3" borderId="14" xfId="0" applyFont="1" applyFill="1" applyBorder="1" applyAlignment="1">
      <alignment horizontal="center" vertical="center"/>
    </xf>
    <xf numFmtId="0" fontId="10" fillId="3" borderId="54" xfId="0" applyFont="1" applyFill="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2" fillId="0" borderId="56" xfId="0" applyFont="1" applyBorder="1" applyAlignment="1">
      <alignment horizontal="center" vertical="center"/>
    </xf>
    <xf numFmtId="0" fontId="9" fillId="3" borderId="63" xfId="0" applyFont="1" applyFill="1" applyBorder="1" applyAlignment="1">
      <alignment horizontal="center" vertical="center" shrinkToFit="1"/>
    </xf>
    <xf numFmtId="0" fontId="9" fillId="3" borderId="65" xfId="0" applyFont="1" applyFill="1" applyBorder="1" applyAlignment="1">
      <alignment horizontal="center" vertical="center" shrinkToFit="1"/>
    </xf>
    <xf numFmtId="0" fontId="9" fillId="0" borderId="27" xfId="0" applyFont="1" applyBorder="1" applyAlignment="1" applyProtection="1">
      <alignment horizontal="center" vertical="center"/>
      <protection locked="0"/>
    </xf>
    <xf numFmtId="0" fontId="9" fillId="3" borderId="36" xfId="0" applyFont="1" applyFill="1" applyBorder="1" applyAlignment="1">
      <alignment horizontal="center" vertical="center" shrinkToFit="1"/>
    </xf>
    <xf numFmtId="185" fontId="9" fillId="0" borderId="33" xfId="0" applyNumberFormat="1" applyFont="1" applyBorder="1" applyAlignment="1">
      <alignment horizontal="center" vertical="center" shrinkToFit="1"/>
    </xf>
    <xf numFmtId="185" fontId="9" fillId="0" borderId="34" xfId="0" applyNumberFormat="1" applyFont="1" applyBorder="1" applyAlignment="1">
      <alignment horizontal="center" vertical="center" shrinkToFit="1"/>
    </xf>
    <xf numFmtId="185" fontId="9" fillId="0" borderId="38" xfId="0" applyNumberFormat="1" applyFont="1" applyBorder="1" applyAlignment="1">
      <alignment horizontal="center" vertical="center" shrinkToFit="1"/>
    </xf>
    <xf numFmtId="0" fontId="9" fillId="3" borderId="25" xfId="0" applyFont="1" applyFill="1" applyBorder="1" applyAlignment="1">
      <alignment horizontal="center" vertical="center" shrinkToFit="1"/>
    </xf>
    <xf numFmtId="185" fontId="9" fillId="0" borderId="71" xfId="0" applyNumberFormat="1" applyFont="1" applyBorder="1" applyAlignment="1">
      <alignment horizontal="center" vertical="center" shrinkToFit="1"/>
    </xf>
    <xf numFmtId="185" fontId="9" fillId="0" borderId="49" xfId="0" applyNumberFormat="1" applyFont="1" applyBorder="1" applyAlignment="1">
      <alignment horizontal="center" vertical="center" shrinkToFit="1"/>
    </xf>
    <xf numFmtId="185" fontId="9" fillId="0" borderId="46" xfId="0" applyNumberFormat="1" applyFont="1" applyBorder="1" applyAlignment="1">
      <alignment horizontal="center" vertical="center" shrinkToFit="1"/>
    </xf>
    <xf numFmtId="0" fontId="8" fillId="3" borderId="25" xfId="0" applyFont="1" applyFill="1" applyBorder="1" applyAlignment="1">
      <alignment horizontal="center" vertical="center" shrinkToFit="1"/>
    </xf>
    <xf numFmtId="0" fontId="8" fillId="3" borderId="26" xfId="0" applyFont="1" applyFill="1" applyBorder="1" applyAlignment="1">
      <alignment horizontal="center" vertical="center" shrinkToFit="1"/>
    </xf>
    <xf numFmtId="0" fontId="9" fillId="0" borderId="39" xfId="0" applyFont="1" applyBorder="1" applyAlignment="1" applyProtection="1">
      <alignment horizontal="center" vertical="center" shrinkToFit="1"/>
      <protection locked="0"/>
    </xf>
    <xf numFmtId="0" fontId="9" fillId="3" borderId="5" xfId="0" applyFont="1" applyFill="1" applyBorder="1" applyAlignment="1">
      <alignment horizontal="center" vertical="center" wrapText="1" shrinkToFit="1"/>
    </xf>
    <xf numFmtId="0" fontId="9" fillId="3" borderId="6" xfId="0" applyFont="1" applyFill="1" applyBorder="1" applyAlignment="1">
      <alignment horizontal="center" vertical="center" wrapText="1" shrinkToFit="1"/>
    </xf>
    <xf numFmtId="0" fontId="9" fillId="3" borderId="7" xfId="0" applyFont="1" applyFill="1" applyBorder="1" applyAlignment="1">
      <alignment horizontal="center" vertical="center" wrapText="1" shrinkToFit="1"/>
    </xf>
    <xf numFmtId="0" fontId="9" fillId="0" borderId="5" xfId="0" applyFont="1" applyBorder="1" applyAlignment="1" applyProtection="1">
      <alignment horizontal="center" vertical="center" shrinkToFit="1"/>
      <protection locked="0"/>
    </xf>
    <xf numFmtId="0" fontId="9" fillId="0" borderId="6" xfId="0" applyFont="1" applyBorder="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8" fillId="3" borderId="30" xfId="0" applyFont="1" applyFill="1" applyBorder="1" applyAlignment="1">
      <alignment horizontal="center" vertical="center" shrinkToFit="1"/>
    </xf>
    <xf numFmtId="0" fontId="8" fillId="3" borderId="2" xfId="0" applyFont="1" applyFill="1" applyBorder="1" applyAlignment="1">
      <alignment horizontal="center" vertical="center" shrinkToFit="1"/>
    </xf>
    <xf numFmtId="0" fontId="8" fillId="0" borderId="2" xfId="0" applyFont="1" applyBorder="1" applyAlignment="1">
      <alignment horizontal="center" vertical="center"/>
    </xf>
    <xf numFmtId="0" fontId="9" fillId="0" borderId="50" xfId="0" applyFont="1" applyBorder="1" applyAlignment="1" applyProtection="1">
      <alignment horizontal="right" vertical="center" shrinkToFit="1"/>
      <protection locked="0"/>
    </xf>
    <xf numFmtId="0" fontId="9" fillId="0" borderId="10" xfId="0" applyFont="1" applyBorder="1" applyAlignment="1" applyProtection="1">
      <alignment horizontal="right" vertical="center" shrinkToFit="1"/>
      <protection locked="0"/>
    </xf>
    <xf numFmtId="0" fontId="9" fillId="3" borderId="4" xfId="0" applyFont="1" applyFill="1" applyBorder="1" applyAlignment="1">
      <alignment horizontal="left" vertical="center" shrinkToFit="1"/>
    </xf>
    <xf numFmtId="0" fontId="9" fillId="3" borderId="35" xfId="0" applyFont="1" applyFill="1" applyBorder="1" applyAlignment="1">
      <alignment horizontal="left" vertical="center" shrinkToFit="1"/>
    </xf>
    <xf numFmtId="0" fontId="9" fillId="0" borderId="33" xfId="0" applyFont="1" applyBorder="1" applyAlignment="1" applyProtection="1">
      <alignment horizontal="center" vertical="center" shrinkToFit="1"/>
      <protection locked="0"/>
    </xf>
    <xf numFmtId="0" fontId="9" fillId="0" borderId="34" xfId="0" applyFont="1" applyBorder="1" applyAlignment="1" applyProtection="1">
      <alignment horizontal="center" vertical="center" shrinkToFit="1"/>
      <protection locked="0"/>
    </xf>
    <xf numFmtId="0" fontId="9" fillId="0" borderId="38" xfId="0" applyFont="1" applyBorder="1" applyAlignment="1" applyProtection="1">
      <alignment horizontal="center" vertical="center" shrinkToFit="1"/>
      <protection locked="0"/>
    </xf>
    <xf numFmtId="0" fontId="9" fillId="3" borderId="61" xfId="0" applyFont="1" applyFill="1" applyBorder="1" applyAlignment="1">
      <alignment horizontal="center" vertical="center" wrapText="1" shrinkToFit="1"/>
    </xf>
    <xf numFmtId="0" fontId="9" fillId="3" borderId="18" xfId="0" applyFont="1" applyFill="1" applyBorder="1" applyAlignment="1">
      <alignment horizontal="center" vertical="center" wrapText="1" shrinkToFit="1"/>
    </xf>
    <xf numFmtId="0" fontId="9" fillId="3" borderId="47" xfId="0" applyFont="1" applyFill="1" applyBorder="1" applyAlignment="1">
      <alignment horizontal="center" vertical="center" wrapText="1" shrinkToFit="1"/>
    </xf>
    <xf numFmtId="0" fontId="9" fillId="3" borderId="50" xfId="0" applyFont="1" applyFill="1" applyBorder="1" applyAlignment="1">
      <alignment horizontal="center" vertical="center" shrinkToFit="1"/>
    </xf>
    <xf numFmtId="0" fontId="9" fillId="3" borderId="23" xfId="0" applyFont="1" applyFill="1" applyBorder="1" applyAlignment="1">
      <alignment horizontal="center" vertical="center" shrinkToFit="1"/>
    </xf>
    <xf numFmtId="0" fontId="9" fillId="3" borderId="51" xfId="0" applyFont="1" applyFill="1" applyBorder="1" applyAlignment="1">
      <alignment horizontal="center" vertical="center" shrinkToFit="1"/>
    </xf>
    <xf numFmtId="0" fontId="9" fillId="3" borderId="56" xfId="0" applyFont="1" applyFill="1" applyBorder="1" applyAlignment="1">
      <alignment horizontal="center" vertical="center" shrinkToFit="1"/>
    </xf>
    <xf numFmtId="0" fontId="17" fillId="0" borderId="60"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16" xfId="0" applyFont="1" applyBorder="1" applyAlignment="1">
      <alignment horizontal="left" vertical="top" wrapText="1"/>
    </xf>
    <xf numFmtId="0" fontId="17" fillId="0" borderId="0" xfId="0" applyFont="1" applyAlignment="1">
      <alignment horizontal="left" vertical="top" wrapText="1"/>
    </xf>
    <xf numFmtId="0" fontId="17" fillId="0" borderId="9" xfId="0" applyFont="1" applyBorder="1" applyAlignment="1">
      <alignment horizontal="left" vertical="top" wrapText="1"/>
    </xf>
    <xf numFmtId="0" fontId="9" fillId="3" borderId="52" xfId="0" applyFont="1" applyFill="1" applyBorder="1" applyAlignment="1">
      <alignment horizontal="center" vertical="center" wrapText="1" shrinkToFit="1"/>
    </xf>
    <xf numFmtId="0" fontId="9" fillId="3" borderId="15" xfId="0" applyFont="1" applyFill="1" applyBorder="1" applyAlignment="1">
      <alignment horizontal="center" vertical="center" wrapText="1" shrinkToFit="1"/>
    </xf>
    <xf numFmtId="0" fontId="9" fillId="3" borderId="56" xfId="0" applyFont="1" applyFill="1" applyBorder="1" applyAlignment="1">
      <alignment horizontal="center" vertical="center" wrapText="1" shrinkToFit="1"/>
    </xf>
    <xf numFmtId="0" fontId="9" fillId="0" borderId="15" xfId="0" applyFont="1" applyBorder="1" applyAlignment="1" applyProtection="1">
      <alignment horizontal="center" vertical="center" shrinkToFit="1"/>
      <protection locked="0"/>
    </xf>
    <xf numFmtId="0" fontId="8" fillId="3" borderId="28" xfId="0" applyFont="1" applyFill="1" applyBorder="1" applyAlignment="1">
      <alignment horizontal="center" vertical="center" shrinkToFit="1"/>
    </xf>
    <xf numFmtId="0" fontId="8" fillId="0" borderId="1" xfId="0" applyFont="1" applyBorder="1" applyAlignment="1">
      <alignment horizontal="center" vertical="center" shrinkToFit="1"/>
    </xf>
    <xf numFmtId="178" fontId="9" fillId="0" borderId="26" xfId="0" applyNumberFormat="1" applyFont="1" applyBorder="1" applyAlignment="1">
      <alignment horizontal="center" vertical="center" shrinkToFit="1"/>
    </xf>
    <xf numFmtId="0" fontId="17" fillId="0" borderId="26" xfId="0" applyFont="1" applyBorder="1" applyAlignment="1">
      <alignment horizontal="left" vertical="top" wrapText="1"/>
    </xf>
    <xf numFmtId="0" fontId="17" fillId="0" borderId="27" xfId="0" applyFont="1" applyBorder="1" applyAlignment="1">
      <alignment horizontal="left" vertical="top" wrapText="1"/>
    </xf>
    <xf numFmtId="0" fontId="17" fillId="0" borderId="1" xfId="0" applyFont="1" applyBorder="1" applyAlignment="1">
      <alignment horizontal="left" vertical="top" wrapText="1"/>
    </xf>
    <xf numFmtId="0" fontId="17" fillId="0" borderId="29" xfId="0" applyFont="1" applyBorder="1" applyAlignment="1">
      <alignment horizontal="left" vertical="top" wrapText="1"/>
    </xf>
    <xf numFmtId="0" fontId="17" fillId="0" borderId="2" xfId="0" applyFont="1" applyBorder="1" applyAlignment="1">
      <alignment horizontal="left" vertical="top" wrapText="1"/>
    </xf>
    <xf numFmtId="0" fontId="17" fillId="0" borderId="31" xfId="0" applyFont="1" applyBorder="1" applyAlignment="1">
      <alignment horizontal="left" vertical="top" wrapText="1"/>
    </xf>
    <xf numFmtId="178" fontId="9" fillId="0" borderId="26" xfId="0" applyNumberFormat="1" applyFont="1" applyBorder="1" applyAlignment="1">
      <alignment horizontal="center" vertical="center"/>
    </xf>
    <xf numFmtId="0" fontId="0" fillId="3" borderId="30" xfId="0" applyFill="1" applyBorder="1" applyAlignment="1">
      <alignment horizontal="center" vertical="center" shrinkToFit="1"/>
    </xf>
    <xf numFmtId="178" fontId="0" fillId="0" borderId="2" xfId="0" applyNumberFormat="1" applyBorder="1" applyAlignment="1">
      <alignment horizontal="center" vertical="center"/>
    </xf>
    <xf numFmtId="0" fontId="0" fillId="3" borderId="25" xfId="0" applyFill="1" applyBorder="1" applyAlignment="1">
      <alignment horizontal="center" vertical="center" shrinkToFit="1"/>
    </xf>
    <xf numFmtId="0" fontId="0" fillId="3" borderId="26" xfId="0" applyFill="1" applyBorder="1" applyAlignment="1">
      <alignment horizontal="center" vertical="center" shrinkToFit="1"/>
    </xf>
    <xf numFmtId="178" fontId="0" fillId="0" borderId="26" xfId="0" applyNumberFormat="1" applyBorder="1" applyAlignment="1">
      <alignment horizontal="center" vertical="center"/>
    </xf>
    <xf numFmtId="0" fontId="9" fillId="9" borderId="30" xfId="0" applyFont="1" applyFill="1" applyBorder="1" applyAlignment="1">
      <alignment horizontal="center" vertical="center" shrinkToFit="1"/>
    </xf>
    <xf numFmtId="0" fontId="9" fillId="9" borderId="58" xfId="0" applyFont="1" applyFill="1" applyBorder="1" applyAlignment="1">
      <alignment horizontal="center" vertical="center" shrinkToFit="1"/>
    </xf>
    <xf numFmtId="0" fontId="9" fillId="9" borderId="63" xfId="0" applyFont="1" applyFill="1" applyBorder="1" applyAlignment="1">
      <alignment horizontal="center" vertical="center" shrinkToFit="1"/>
    </xf>
    <xf numFmtId="0" fontId="0" fillId="0" borderId="18"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24" fillId="3" borderId="2" xfId="0" applyFont="1" applyFill="1" applyBorder="1" applyAlignment="1">
      <alignment horizontal="center" vertical="center"/>
    </xf>
    <xf numFmtId="0" fontId="25" fillId="3" borderId="2" xfId="0" applyFont="1" applyFill="1" applyBorder="1" applyAlignment="1">
      <alignment horizontal="center" vertical="center"/>
    </xf>
    <xf numFmtId="0" fontId="13" fillId="0" borderId="40" xfId="0" applyFont="1" applyBorder="1" applyAlignment="1">
      <alignment horizontal="center" vertical="center"/>
    </xf>
    <xf numFmtId="0" fontId="23" fillId="0" borderId="40" xfId="0" applyFont="1" applyBorder="1" applyAlignment="1">
      <alignment horizontal="center" vertical="center"/>
    </xf>
    <xf numFmtId="0" fontId="23" fillId="0" borderId="36" xfId="0" applyFont="1" applyBorder="1" applyAlignment="1">
      <alignment horizontal="center" vertical="center"/>
    </xf>
    <xf numFmtId="186" fontId="9" fillId="0" borderId="63" xfId="0" applyNumberFormat="1" applyFont="1" applyBorder="1" applyAlignment="1" applyProtection="1">
      <alignment horizontal="center" vertical="center" shrinkToFit="1"/>
      <protection locked="0"/>
    </xf>
    <xf numFmtId="186" fontId="9" fillId="0" borderId="65" xfId="0" applyNumberFormat="1" applyFont="1" applyBorder="1" applyAlignment="1" applyProtection="1">
      <alignment horizontal="center" vertical="center" shrinkToFit="1"/>
      <protection locked="0"/>
    </xf>
    <xf numFmtId="186" fontId="9" fillId="0" borderId="32" xfId="0" applyNumberFormat="1" applyFont="1" applyBorder="1" applyAlignment="1" applyProtection="1">
      <alignment horizontal="center" vertical="center" shrinkToFit="1"/>
      <protection locked="0"/>
    </xf>
    <xf numFmtId="179" fontId="9" fillId="0" borderId="71" xfId="0" applyNumberFormat="1" applyFont="1" applyBorder="1" applyAlignment="1">
      <alignment horizontal="center" vertical="center" shrinkToFit="1"/>
    </xf>
    <xf numFmtId="179" fontId="9" fillId="0" borderId="49" xfId="0" applyNumberFormat="1" applyFont="1" applyBorder="1" applyAlignment="1">
      <alignment horizontal="center" vertical="center" shrinkToFit="1"/>
    </xf>
    <xf numFmtId="179" fontId="9" fillId="0" borderId="46" xfId="0" applyNumberFormat="1" applyFont="1" applyBorder="1" applyAlignment="1">
      <alignment horizontal="center" vertical="center" shrinkToFit="1"/>
    </xf>
    <xf numFmtId="0" fontId="13" fillId="3" borderId="14" xfId="0" applyFont="1" applyFill="1" applyBorder="1" applyAlignment="1">
      <alignment horizontal="center" vertical="center"/>
    </xf>
    <xf numFmtId="0" fontId="23" fillId="3" borderId="54" xfId="0" applyFont="1" applyFill="1" applyBorder="1" applyAlignment="1">
      <alignment horizontal="center" vertical="center"/>
    </xf>
    <xf numFmtId="0" fontId="8" fillId="3" borderId="14" xfId="0" applyFont="1" applyFill="1" applyBorder="1" applyAlignment="1">
      <alignment horizontal="center" vertical="center" shrinkToFit="1"/>
    </xf>
    <xf numFmtId="0" fontId="8" fillId="3" borderId="54" xfId="0" applyFont="1" applyFill="1" applyBorder="1" applyAlignment="1">
      <alignment horizontal="center" vertical="center" shrinkToFit="1"/>
    </xf>
    <xf numFmtId="0" fontId="8" fillId="3" borderId="13" xfId="0" applyFont="1" applyFill="1" applyBorder="1" applyAlignment="1">
      <alignment horizontal="center" vertical="center" shrinkToFit="1"/>
    </xf>
    <xf numFmtId="0" fontId="9" fillId="3" borderId="55" xfId="0" applyFont="1" applyFill="1" applyBorder="1" applyAlignment="1">
      <alignment horizontal="center" vertical="center" shrinkToFit="1"/>
    </xf>
    <xf numFmtId="0" fontId="9" fillId="3" borderId="13" xfId="0" applyFont="1" applyFill="1" applyBorder="1" applyAlignment="1">
      <alignment horizontal="center" vertical="center" shrinkToFit="1"/>
    </xf>
    <xf numFmtId="0" fontId="0" fillId="3" borderId="28" xfId="0" applyFill="1" applyBorder="1" applyAlignment="1">
      <alignment horizontal="center" vertical="center"/>
    </xf>
    <xf numFmtId="0" fontId="0" fillId="3" borderId="3" xfId="0" applyFill="1" applyBorder="1" applyAlignment="1">
      <alignment horizontal="center" vertical="center" wrapText="1"/>
    </xf>
    <xf numFmtId="0" fontId="9" fillId="3" borderId="20" xfId="0" applyFont="1" applyFill="1" applyBorder="1" applyAlignment="1">
      <alignment horizontal="center" vertical="center" shrinkToFit="1"/>
    </xf>
    <xf numFmtId="0" fontId="9" fillId="9" borderId="71" xfId="0" applyFont="1" applyFill="1" applyBorder="1" applyAlignment="1">
      <alignment horizontal="center" vertical="center"/>
    </xf>
    <xf numFmtId="0" fontId="9" fillId="0" borderId="18" xfId="0" applyFont="1" applyBorder="1">
      <alignment vertical="center"/>
    </xf>
    <xf numFmtId="0" fontId="8" fillId="9" borderId="3" xfId="0" applyFont="1" applyFill="1" applyBorder="1" applyAlignment="1">
      <alignment horizontal="center" vertical="center"/>
    </xf>
    <xf numFmtId="0" fontId="0" fillId="9" borderId="3" xfId="0" applyFill="1" applyBorder="1" applyAlignment="1">
      <alignment horizontal="center" vertical="center"/>
    </xf>
    <xf numFmtId="0" fontId="9" fillId="9" borderId="1" xfId="0" applyFont="1" applyFill="1" applyBorder="1" applyAlignment="1">
      <alignment horizontal="center" vertical="center"/>
    </xf>
    <xf numFmtId="0" fontId="8" fillId="9" borderId="44" xfId="0" applyFont="1" applyFill="1" applyBorder="1" applyAlignment="1">
      <alignment horizontal="center" vertical="center"/>
    </xf>
    <xf numFmtId="0" fontId="9" fillId="0" borderId="49" xfId="0" applyFont="1" applyBorder="1">
      <alignment vertical="center"/>
    </xf>
    <xf numFmtId="0" fontId="9" fillId="0" borderId="46" xfId="0" applyFont="1" applyBorder="1">
      <alignment vertical="center"/>
    </xf>
    <xf numFmtId="0" fontId="0" fillId="0" borderId="49"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0" borderId="5" xfId="0" applyBorder="1" applyProtection="1">
      <alignment vertical="center"/>
      <protection locked="0"/>
    </xf>
    <xf numFmtId="0" fontId="0" fillId="0" borderId="6" xfId="0" applyBorder="1" applyProtection="1">
      <alignment vertical="center"/>
      <protection locked="0"/>
    </xf>
    <xf numFmtId="0" fontId="0" fillId="0" borderId="7" xfId="0" applyBorder="1" applyProtection="1">
      <alignment vertical="center"/>
      <protection locked="0"/>
    </xf>
    <xf numFmtId="0" fontId="0" fillId="0" borderId="18" xfId="0" applyBorder="1" applyAlignment="1">
      <alignment horizontal="center" vertical="center" shrinkToFit="1"/>
    </xf>
    <xf numFmtId="0" fontId="0" fillId="0" borderId="34" xfId="0" applyBorder="1" applyAlignment="1">
      <alignment horizontal="center" vertical="center" shrinkToFit="1"/>
    </xf>
    <xf numFmtId="0" fontId="9" fillId="3" borderId="57" xfId="0" applyFont="1" applyFill="1" applyBorder="1" applyAlignment="1">
      <alignment horizontal="center" vertical="center" textRotation="255" wrapText="1"/>
    </xf>
    <xf numFmtId="0" fontId="9" fillId="3" borderId="58" xfId="0" applyFont="1" applyFill="1" applyBorder="1" applyAlignment="1">
      <alignment horizontal="center" vertical="center" textRotation="255" wrapText="1"/>
    </xf>
    <xf numFmtId="0" fontId="0" fillId="0" borderId="59" xfId="0" applyBorder="1">
      <alignment vertical="center"/>
    </xf>
    <xf numFmtId="0" fontId="9" fillId="9" borderId="18" xfId="0" applyFont="1" applyFill="1" applyBorder="1" applyAlignment="1">
      <alignment horizontal="center" vertical="center"/>
    </xf>
    <xf numFmtId="0" fontId="9" fillId="2" borderId="47" xfId="0" applyFont="1" applyFill="1" applyBorder="1" applyAlignment="1">
      <alignment horizontal="center" vertical="center"/>
    </xf>
    <xf numFmtId="0" fontId="16" fillId="9" borderId="3" xfId="0" applyFont="1" applyFill="1" applyBorder="1" applyAlignment="1" applyProtection="1">
      <alignment horizontal="center" vertical="center"/>
      <protection locked="0"/>
    </xf>
    <xf numFmtId="0" fontId="9" fillId="0" borderId="4" xfId="0" applyFont="1" applyBorder="1" applyAlignment="1">
      <alignment horizontal="center" vertical="center"/>
    </xf>
    <xf numFmtId="0" fontId="9" fillId="9" borderId="4" xfId="0" applyFont="1" applyFill="1" applyBorder="1" applyAlignment="1">
      <alignment horizontal="center" vertical="center"/>
    </xf>
    <xf numFmtId="0" fontId="9" fillId="9" borderId="47" xfId="0" applyFont="1" applyFill="1" applyBorder="1" applyAlignment="1">
      <alignment horizontal="center" vertical="center"/>
    </xf>
    <xf numFmtId="0" fontId="16" fillId="9" borderId="48" xfId="0" applyFont="1" applyFill="1" applyBorder="1" applyAlignment="1" applyProtection="1">
      <alignment horizontal="center" vertical="center"/>
      <protection locked="0"/>
    </xf>
    <xf numFmtId="0" fontId="9" fillId="9" borderId="38" xfId="0" applyFont="1" applyFill="1" applyBorder="1" applyAlignment="1">
      <alignment horizontal="center" vertical="center"/>
    </xf>
    <xf numFmtId="0" fontId="8" fillId="0" borderId="44" xfId="0" applyFont="1" applyBorder="1" applyAlignment="1">
      <alignment horizontal="center" vertical="center"/>
    </xf>
    <xf numFmtId="0" fontId="16" fillId="2" borderId="3" xfId="0" applyFont="1" applyFill="1" applyBorder="1" applyAlignment="1">
      <alignment horizontal="center" vertical="center"/>
    </xf>
    <xf numFmtId="0" fontId="8" fillId="0" borderId="5" xfId="0" applyFont="1" applyBorder="1" applyAlignment="1">
      <alignment horizontal="center" vertical="center" wrapText="1"/>
    </xf>
    <xf numFmtId="0" fontId="9" fillId="0" borderId="6"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67" xfId="0" applyFont="1" applyBorder="1" applyAlignment="1">
      <alignment horizontal="center" vertical="center" wrapText="1"/>
    </xf>
    <xf numFmtId="0" fontId="9" fillId="0" borderId="73" xfId="0" applyFont="1" applyBorder="1" applyAlignment="1">
      <alignment horizontal="center" vertical="center"/>
    </xf>
    <xf numFmtId="0" fontId="0" fillId="0" borderId="60" xfId="0" applyBorder="1" applyAlignment="1">
      <alignment horizontal="center" vertical="center" wrapText="1"/>
    </xf>
    <xf numFmtId="0" fontId="0" fillId="0" borderId="74" xfId="0" applyBorder="1" applyAlignment="1">
      <alignment horizontal="center" vertical="center"/>
    </xf>
    <xf numFmtId="0" fontId="0" fillId="0" borderId="17" xfId="0" applyBorder="1" applyAlignment="1">
      <alignment horizontal="center" vertical="center"/>
    </xf>
    <xf numFmtId="0" fontId="0" fillId="0" borderId="72"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8" fillId="2" borderId="6"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12" xfId="0" applyFont="1" applyFill="1" applyBorder="1" applyAlignment="1">
      <alignment horizontal="center" vertical="center"/>
    </xf>
    <xf numFmtId="0" fontId="9" fillId="7" borderId="27" xfId="0" applyFont="1" applyFill="1" applyBorder="1" applyAlignment="1" applyProtection="1">
      <alignment horizontal="center" vertical="center"/>
      <protection locked="0"/>
    </xf>
    <xf numFmtId="0" fontId="9" fillId="3" borderId="30" xfId="0" applyFont="1" applyFill="1" applyBorder="1" applyAlignment="1">
      <alignment horizontal="center" vertical="center" textRotation="255"/>
    </xf>
    <xf numFmtId="0" fontId="9" fillId="3" borderId="24" xfId="0" applyFont="1" applyFill="1" applyBorder="1" applyAlignment="1">
      <alignment horizontal="center" vertical="center" wrapText="1" shrinkToFit="1"/>
    </xf>
    <xf numFmtId="0" fontId="0" fillId="0" borderId="23" xfId="0" applyBorder="1" applyAlignment="1">
      <alignment horizontal="center" vertical="center" wrapText="1" shrinkToFit="1"/>
    </xf>
    <xf numFmtId="0" fontId="0" fillId="0" borderId="19" xfId="0" applyBorder="1" applyAlignment="1">
      <alignment horizontal="center" vertical="center" wrapText="1" shrinkToFit="1"/>
    </xf>
    <xf numFmtId="0" fontId="0" fillId="0" borderId="20" xfId="0" applyBorder="1" applyAlignment="1">
      <alignment horizontal="center" vertical="center" wrapText="1" shrinkToFit="1"/>
    </xf>
    <xf numFmtId="0" fontId="0" fillId="0" borderId="21" xfId="0" applyBorder="1" applyAlignment="1">
      <alignment horizontal="center" vertical="center" wrapText="1" shrinkToFit="1"/>
    </xf>
    <xf numFmtId="0" fontId="0" fillId="0" borderId="22" xfId="0" applyBorder="1" applyAlignment="1">
      <alignment horizontal="center" vertical="center" wrapText="1" shrinkToFit="1"/>
    </xf>
    <xf numFmtId="178" fontId="9" fillId="0" borderId="1" xfId="0" applyNumberFormat="1" applyFont="1" applyBorder="1" applyAlignment="1" applyProtection="1">
      <alignment horizontal="center" vertical="center"/>
      <protection locked="0"/>
    </xf>
    <xf numFmtId="0" fontId="9" fillId="0" borderId="3" xfId="0" applyFont="1" applyBorder="1" applyAlignment="1">
      <alignment horizontal="center" vertical="center"/>
    </xf>
    <xf numFmtId="0" fontId="0" fillId="9" borderId="18" xfId="0" applyFill="1" applyBorder="1" applyAlignment="1">
      <alignment horizontal="center" vertical="center"/>
    </xf>
    <xf numFmtId="0" fontId="0" fillId="9" borderId="4" xfId="0" applyFill="1" applyBorder="1" applyAlignment="1">
      <alignment horizontal="center" vertical="center"/>
    </xf>
    <xf numFmtId="178" fontId="9" fillId="0" borderId="3" xfId="0" applyNumberFormat="1" applyFont="1" applyBorder="1" applyAlignment="1" applyProtection="1">
      <alignment horizontal="center" vertical="center"/>
      <protection locked="0"/>
    </xf>
    <xf numFmtId="178" fontId="9" fillId="0" borderId="4" xfId="0" applyNumberFormat="1" applyFont="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178" fontId="9" fillId="2" borderId="3" xfId="0" applyNumberFormat="1" applyFont="1" applyFill="1" applyBorder="1" applyAlignment="1" applyProtection="1">
      <alignment horizontal="center" vertical="center"/>
      <protection locked="0"/>
    </xf>
    <xf numFmtId="178" fontId="9" fillId="2" borderId="4" xfId="0" applyNumberFormat="1"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24" xfId="0" applyFont="1" applyFill="1" applyBorder="1" applyAlignment="1" applyProtection="1">
      <alignment horizontal="center" vertical="center"/>
      <protection locked="0"/>
    </xf>
    <xf numFmtId="0" fontId="9" fillId="2" borderId="23"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protection locked="0"/>
    </xf>
    <xf numFmtId="0" fontId="9" fillId="0" borderId="2" xfId="0" applyFont="1" applyBorder="1" applyAlignment="1">
      <alignment horizontal="center" vertical="center"/>
    </xf>
    <xf numFmtId="0" fontId="9" fillId="0" borderId="24" xfId="0" applyFont="1" applyBorder="1" applyAlignment="1">
      <alignment horizontal="center" vertical="center"/>
    </xf>
    <xf numFmtId="0" fontId="9" fillId="0" borderId="23" xfId="0" applyFont="1" applyBorder="1" applyAlignment="1">
      <alignment horizontal="center" vertical="center"/>
    </xf>
    <xf numFmtId="0" fontId="9" fillId="0" borderId="19" xfId="0" applyFont="1" applyBorder="1" applyAlignment="1">
      <alignment horizontal="center" vertical="center"/>
    </xf>
    <xf numFmtId="0" fontId="9" fillId="2" borderId="18" xfId="0"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0" fontId="9"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8" xfId="0" applyFont="1" applyBorder="1" applyAlignment="1" applyProtection="1">
      <alignment horizontal="center" vertical="center"/>
      <protection locked="0"/>
    </xf>
    <xf numFmtId="0" fontId="9" fillId="0" borderId="79" xfId="0" applyFont="1" applyBorder="1" applyAlignment="1" applyProtection="1">
      <alignment horizontal="center" vertical="center"/>
      <protection locked="0"/>
    </xf>
    <xf numFmtId="0" fontId="9" fillId="2" borderId="1" xfId="0" applyFont="1" applyFill="1" applyBorder="1" applyAlignment="1">
      <alignment horizontal="center" vertical="center"/>
    </xf>
    <xf numFmtId="0" fontId="2" fillId="0" borderId="1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0" fillId="0" borderId="15" xfId="0" applyBorder="1" applyAlignment="1">
      <alignment horizontal="center" vertical="center"/>
    </xf>
    <xf numFmtId="0" fontId="0" fillId="0" borderId="53" xfId="0" applyBorder="1" applyAlignment="1">
      <alignment horizontal="center" vertical="center"/>
    </xf>
    <xf numFmtId="0" fontId="9" fillId="3" borderId="40" xfId="0" applyFont="1" applyFill="1" applyBorder="1" applyAlignment="1">
      <alignment horizontal="center" vertical="center" wrapText="1"/>
    </xf>
    <xf numFmtId="0" fontId="9" fillId="3" borderId="40" xfId="0" applyFont="1" applyFill="1" applyBorder="1" applyAlignment="1">
      <alignment horizontal="center" vertical="center" wrapText="1" shrinkToFit="1"/>
    </xf>
    <xf numFmtId="0" fontId="0" fillId="0" borderId="17" xfId="0" applyBorder="1" applyAlignment="1">
      <alignment horizontal="center" vertical="center" wrapText="1" shrinkToFit="1"/>
    </xf>
    <xf numFmtId="0" fontId="0" fillId="0" borderId="11" xfId="0" applyBorder="1" applyAlignment="1">
      <alignment horizontal="center" vertical="center" wrapText="1" shrinkToFit="1"/>
    </xf>
    <xf numFmtId="0" fontId="0" fillId="0" borderId="72" xfId="0" applyBorder="1" applyAlignment="1">
      <alignment horizontal="center" vertical="center" wrapText="1" shrinkToFit="1"/>
    </xf>
    <xf numFmtId="0" fontId="9" fillId="0" borderId="80" xfId="0" applyFont="1" applyBorder="1" applyAlignment="1" applyProtection="1">
      <alignment horizontal="center" vertical="center"/>
      <protection locked="0"/>
    </xf>
    <xf numFmtId="0" fontId="9" fillId="3" borderId="36" xfId="0" applyFont="1" applyFill="1" applyBorder="1" applyAlignment="1">
      <alignment horizontal="center" vertical="center" wrapText="1" shrinkToFit="1"/>
    </xf>
  </cellXfs>
  <cellStyles count="3">
    <cellStyle name="標準" xfId="0" builtinId="0"/>
    <cellStyle name="標準 2" xfId="1" xr:uid="{00000000-0005-0000-0000-000001000000}"/>
    <cellStyle name="標準 3" xfId="2" xr:uid="{B8B49634-35B7-4205-8D57-8774082D0577}"/>
  </cellStyles>
  <dxfs count="101">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ill>
        <patternFill>
          <bgColor theme="7"/>
        </patternFill>
      </fill>
    </dxf>
    <dxf>
      <font>
        <color auto="1"/>
      </font>
      <fill>
        <patternFill>
          <bgColor rgb="FFFFC7CE"/>
        </patternFill>
      </fill>
    </dxf>
    <dxf>
      <fill>
        <patternFill>
          <bgColor theme="9" tint="0.39994506668294322"/>
        </patternFill>
      </fill>
    </dxf>
    <dxf>
      <fill>
        <patternFill>
          <bgColor theme="9" tint="0.39994506668294322"/>
        </patternFill>
      </fill>
    </dxf>
    <dxf>
      <font>
        <color auto="1"/>
      </font>
      <fill>
        <patternFill>
          <bgColor rgb="FFFFC7CE"/>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ill>
        <patternFill>
          <bgColor theme="7"/>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ill>
        <patternFill>
          <bgColor theme="7"/>
        </patternFill>
      </fill>
    </dxf>
    <dxf>
      <fill>
        <patternFill>
          <bgColor theme="7"/>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ill>
        <patternFill>
          <bgColor theme="7"/>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ill>
        <patternFill>
          <bgColor theme="7"/>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ill>
        <patternFill>
          <bgColor theme="9" tint="0.39994506668294322"/>
        </patternFill>
      </fill>
    </dxf>
    <dxf>
      <font>
        <color auto="1"/>
      </font>
      <fill>
        <patternFill>
          <bgColor rgb="FFFFC7CE"/>
        </patternFill>
      </fill>
    </dxf>
    <dxf>
      <fill>
        <patternFill>
          <bgColor theme="7"/>
        </patternFill>
      </fill>
    </dxf>
    <dxf>
      <font>
        <color auto="1"/>
      </font>
      <fill>
        <patternFill>
          <bgColor rgb="FFFFC7CE"/>
        </patternFill>
      </fill>
    </dxf>
    <dxf>
      <fill>
        <patternFill>
          <bgColor theme="9" tint="0.39994506668294322"/>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7"/>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ill>
        <patternFill>
          <bgColor theme="7"/>
        </patternFill>
      </fill>
    </dxf>
    <dxf>
      <fill>
        <patternFill>
          <bgColor theme="9" tint="0.39994506668294322"/>
        </patternFill>
      </fill>
    </dxf>
    <dxf>
      <font>
        <color auto="1"/>
      </font>
      <fill>
        <patternFill>
          <bgColor rgb="FFFFC7CE"/>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ont>
        <color auto="1"/>
      </font>
      <fill>
        <patternFill>
          <bgColor rgb="FFFFC7CE"/>
        </patternFill>
      </fill>
    </dxf>
    <dxf>
      <fill>
        <patternFill>
          <bgColor theme="9" tint="0.39994506668294322"/>
        </patternFill>
      </fill>
    </dxf>
    <dxf>
      <fill>
        <patternFill>
          <bgColor theme="9" tint="0.39994506668294322"/>
        </patternFill>
      </fill>
    </dxf>
    <dxf>
      <font>
        <color auto="1"/>
      </font>
      <fill>
        <patternFill>
          <bgColor rgb="FFFFC7CE"/>
        </patternFill>
      </fill>
    </dxf>
    <dxf>
      <fill>
        <patternFill>
          <bgColor theme="7"/>
        </patternFill>
      </fill>
    </dxf>
    <dxf>
      <fill>
        <patternFill>
          <bgColor theme="7"/>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ont>
        <color rgb="FFFF0000"/>
      </font>
      <fill>
        <patternFill>
          <bgColor theme="5" tint="0.79998168889431442"/>
        </patternFill>
      </fill>
    </dxf>
    <dxf>
      <fill>
        <patternFill>
          <bgColor theme="0" tint="-0.14996795556505021"/>
        </patternFill>
      </fill>
    </dxf>
    <dxf>
      <font>
        <color rgb="FFFF0000"/>
      </font>
      <fill>
        <patternFill>
          <bgColor theme="5" tint="0.79998168889431442"/>
        </patternFill>
      </fill>
    </dxf>
    <dxf>
      <fill>
        <patternFill>
          <bgColor theme="0" tint="-0.14996795556505021"/>
        </patternFill>
      </fill>
    </dxf>
    <dxf>
      <font>
        <color rgb="FFFF0000"/>
      </font>
      <fill>
        <patternFill>
          <bgColor theme="5" tint="0.79998168889431442"/>
        </patternFill>
      </fill>
    </dxf>
    <dxf>
      <font>
        <b/>
        <i val="0"/>
        <color rgb="FFFF0000"/>
      </font>
      <fill>
        <patternFill>
          <bgColor theme="5" tint="0.79998168889431442"/>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ill>
        <patternFill>
          <bgColor theme="7"/>
        </patternFill>
      </fill>
    </dxf>
    <dxf>
      <font>
        <color theme="7"/>
      </font>
    </dxf>
    <dxf>
      <fill>
        <patternFill>
          <bgColor theme="7"/>
        </patternFill>
      </fill>
    </dxf>
    <dxf>
      <font>
        <color theme="7"/>
      </font>
    </dxf>
    <dxf>
      <font>
        <color theme="7"/>
      </font>
    </dxf>
    <dxf>
      <fill>
        <patternFill>
          <bgColor theme="7"/>
        </patternFill>
      </fill>
    </dxf>
    <dxf>
      <fill>
        <patternFill>
          <bgColor theme="7"/>
        </patternFill>
      </fill>
    </dxf>
    <dxf>
      <fill>
        <patternFill>
          <bgColor theme="7"/>
        </patternFill>
      </fill>
    </dxf>
    <dxf>
      <fill>
        <patternFill>
          <bgColor theme="0" tint="-0.14996795556505021"/>
        </patternFill>
      </fill>
    </dxf>
    <dxf>
      <fill>
        <patternFill>
          <bgColor theme="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２日目以降のもろみ経過</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4.2352204639546844E-2"/>
          <c:y val="0.12566550374846339"/>
          <c:w val="0.94853143554185326"/>
          <c:h val="0.72942435918914394"/>
        </c:manualLayout>
      </c:layout>
      <c:scatterChart>
        <c:scatterStyle val="lineMarker"/>
        <c:varyColors val="0"/>
        <c:ser>
          <c:idx val="0"/>
          <c:order val="0"/>
          <c:tx>
            <c:v>室温</c:v>
          </c:tx>
          <c:spPr>
            <a:ln w="19050" cap="rnd">
              <a:solidFill>
                <a:srgbClr val="FF0000"/>
              </a:solidFill>
              <a:round/>
            </a:ln>
            <a:effectLst/>
          </c:spPr>
          <c:marker>
            <c:symbol val="circle"/>
            <c:size val="5"/>
            <c:spPr>
              <a:solidFill>
                <a:srgbClr val="FF0000"/>
              </a:solidFill>
              <a:ln w="9525">
                <a:solidFill>
                  <a:srgbClr val="FF0000"/>
                </a:solidFill>
                <a:bevel/>
              </a:ln>
              <a:effectLst/>
            </c:spPr>
          </c:marker>
          <c:xVal>
            <c:numRef>
              <c:f>○号!$S$3:$BE$3</c:f>
              <c:numCache>
                <c:formatCode>General</c:formatCode>
                <c:ptCount val="39"/>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numCache>
            </c:numRef>
          </c:xVal>
          <c:yVal>
            <c:numRef>
              <c:f>○号!$S$11:$BE$11</c:f>
              <c:numCache>
                <c:formatCode>0.0_ </c:formatCode>
                <c:ptCount val="39"/>
              </c:numCache>
            </c:numRef>
          </c:yVal>
          <c:smooth val="0"/>
          <c:extLst>
            <c:ext xmlns:c16="http://schemas.microsoft.com/office/drawing/2014/chart" uri="{C3380CC4-5D6E-409C-BE32-E72D297353CC}">
              <c16:uniqueId val="{00000000-AE96-47E0-8523-F666E4A2E309}"/>
            </c:ext>
          </c:extLst>
        </c:ser>
        <c:ser>
          <c:idx val="1"/>
          <c:order val="1"/>
          <c:tx>
            <c:v>品温</c:v>
          </c:tx>
          <c:spPr>
            <a:ln w="19050" cap="rnd">
              <a:solidFill>
                <a:schemeClr val="tx1"/>
              </a:solidFill>
              <a:prstDash val="dash"/>
              <a:round/>
            </a:ln>
            <a:effectLst/>
          </c:spPr>
          <c:marker>
            <c:symbol val="circle"/>
            <c:size val="5"/>
            <c:spPr>
              <a:solidFill>
                <a:schemeClr val="tx1"/>
              </a:solidFill>
              <a:ln w="9525">
                <a:solidFill>
                  <a:schemeClr val="tx1"/>
                </a:solidFill>
              </a:ln>
              <a:effectLst/>
            </c:spPr>
          </c:marker>
          <c:xVal>
            <c:numRef>
              <c:f>○号!$S$3:$BE$3</c:f>
              <c:numCache>
                <c:formatCode>General</c:formatCode>
                <c:ptCount val="39"/>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numCache>
            </c:numRef>
          </c:xVal>
          <c:yVal>
            <c:numRef>
              <c:f>○号!$S$12:$BE$12</c:f>
              <c:numCache>
                <c:formatCode>0.0_ </c:formatCode>
                <c:ptCount val="39"/>
              </c:numCache>
            </c:numRef>
          </c:yVal>
          <c:smooth val="0"/>
          <c:extLst>
            <c:ext xmlns:c16="http://schemas.microsoft.com/office/drawing/2014/chart" uri="{C3380CC4-5D6E-409C-BE32-E72D297353CC}">
              <c16:uniqueId val="{00000001-AE96-47E0-8523-F666E4A2E309}"/>
            </c:ext>
          </c:extLst>
        </c:ser>
        <c:ser>
          <c:idx val="2"/>
          <c:order val="2"/>
          <c:tx>
            <c:v>ボーメ</c:v>
          </c:tx>
          <c:spPr>
            <a:ln w="19050" cap="rnd">
              <a:solidFill>
                <a:srgbClr val="0070C0"/>
              </a:solidFill>
              <a:prstDash val="sysDash"/>
              <a:miter lim="800000"/>
            </a:ln>
            <a:effectLst/>
          </c:spPr>
          <c:marker>
            <c:symbol val="circle"/>
            <c:size val="5"/>
            <c:spPr>
              <a:solidFill>
                <a:srgbClr val="0070C0"/>
              </a:solidFill>
              <a:ln w="9525">
                <a:solidFill>
                  <a:srgbClr val="0070C0"/>
                </a:solidFill>
              </a:ln>
              <a:effectLst/>
            </c:spPr>
          </c:marker>
          <c:xVal>
            <c:numRef>
              <c:f>○号!$S$3:$BE$3</c:f>
              <c:numCache>
                <c:formatCode>General</c:formatCode>
                <c:ptCount val="39"/>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numCache>
            </c:numRef>
          </c:xVal>
          <c:yVal>
            <c:numRef>
              <c:f>○号!$S$163:$BE$163</c:f>
              <c:numCache>
                <c:formatCode>General</c:formatCode>
                <c:ptCount val="39"/>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numCache>
            </c:numRef>
          </c:yVal>
          <c:smooth val="0"/>
          <c:extLst>
            <c:ext xmlns:c16="http://schemas.microsoft.com/office/drawing/2014/chart" uri="{C3380CC4-5D6E-409C-BE32-E72D297353CC}">
              <c16:uniqueId val="{00000002-AE96-47E0-8523-F666E4A2E309}"/>
            </c:ext>
          </c:extLst>
        </c:ser>
        <c:ser>
          <c:idx val="3"/>
          <c:order val="3"/>
          <c:tx>
            <c:v>アルコール分</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○号!$S$3:$BE$3</c:f>
              <c:numCache>
                <c:formatCode>General</c:formatCode>
                <c:ptCount val="39"/>
                <c:pt idx="0">
                  <c:v>2</c:v>
                </c:pt>
                <c:pt idx="1">
                  <c:v>3</c:v>
                </c:pt>
                <c:pt idx="2">
                  <c:v>4</c:v>
                </c:pt>
                <c:pt idx="3">
                  <c:v>5</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numCache>
            </c:numRef>
          </c:xVal>
          <c:yVal>
            <c:numRef>
              <c:f>○号!$S$16:$BE$16</c:f>
              <c:numCache>
                <c:formatCode>0.0_ </c:formatCode>
                <c:ptCount val="39"/>
              </c:numCache>
            </c:numRef>
          </c:yVal>
          <c:smooth val="0"/>
          <c:extLst>
            <c:ext xmlns:c16="http://schemas.microsoft.com/office/drawing/2014/chart" uri="{C3380CC4-5D6E-409C-BE32-E72D297353CC}">
              <c16:uniqueId val="{00000003-AE96-47E0-8523-F666E4A2E309}"/>
            </c:ext>
          </c:extLst>
        </c:ser>
        <c:dLbls>
          <c:showLegendKey val="0"/>
          <c:showVal val="0"/>
          <c:showCatName val="0"/>
          <c:showSerName val="0"/>
          <c:showPercent val="0"/>
          <c:showBubbleSize val="0"/>
        </c:dLbls>
        <c:axId val="462690824"/>
        <c:axId val="327855400"/>
      </c:scatterChart>
      <c:valAx>
        <c:axId val="462690824"/>
        <c:scaling>
          <c:orientation val="minMax"/>
          <c:max val="40"/>
          <c:min val="2"/>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ja-JP" altLang="en-US"/>
                  <a:t>もろみ日数</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27855400"/>
        <c:crosses val="autoZero"/>
        <c:crossBetween val="midCat"/>
        <c:majorUnit val="1"/>
      </c:valAx>
      <c:valAx>
        <c:axId val="327855400"/>
        <c:scaling>
          <c:orientation val="minMax"/>
          <c:max val="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ja-JP"/>
            </a:p>
          </c:txPr>
        </c:title>
        <c:numFmt formatCode="0.0_ "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62690824"/>
        <c:crosses val="autoZero"/>
        <c:crossBetween val="midCat"/>
        <c:majorUnit val="5"/>
      </c:valAx>
      <c:spPr>
        <a:noFill/>
        <a:ln>
          <a:noFill/>
        </a:ln>
        <a:effectLst/>
      </c:spPr>
    </c:plotArea>
    <c:legend>
      <c:legendPos val="r"/>
      <c:layout>
        <c:manualLayout>
          <c:xMode val="edge"/>
          <c:yMode val="edge"/>
          <c:x val="2.0352663978494463E-2"/>
          <c:y val="6.872038598495997E-2"/>
          <c:w val="0.27230936584318871"/>
          <c:h val="0.1763696752485990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span"/>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8"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初添～留添のもろみ経過</a:t>
            </a:r>
          </a:p>
        </c:rich>
      </c:tx>
      <c:layout>
        <c:manualLayout>
          <c:xMode val="edge"/>
          <c:yMode val="edge"/>
          <c:x val="0.34804323843148621"/>
          <c:y val="2.713043329651854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3.7333574682475036E-2"/>
          <c:y val="0.11650355512463136"/>
          <c:w val="0.9310568541137082"/>
          <c:h val="0.74302342014940437"/>
        </c:manualLayout>
      </c:layout>
      <c:scatterChart>
        <c:scatterStyle val="lineMarker"/>
        <c:varyColors val="0"/>
        <c:ser>
          <c:idx val="0"/>
          <c:order val="0"/>
          <c:tx>
            <c:v>室温</c:v>
          </c:tx>
          <c:spPr>
            <a:ln w="19050" cap="rnd">
              <a:solidFill>
                <a:srgbClr val="FF0000"/>
              </a:solidFill>
              <a:round/>
            </a:ln>
            <a:effectLst/>
          </c:spPr>
          <c:marker>
            <c:symbol val="circle"/>
            <c:size val="5"/>
            <c:spPr>
              <a:solidFill>
                <a:srgbClr val="FF0000"/>
              </a:solidFill>
              <a:ln w="9525">
                <a:solidFill>
                  <a:srgbClr val="FF0000"/>
                </a:solidFill>
                <a:bevel/>
              </a:ln>
              <a:effectLst/>
            </c:spPr>
          </c:marker>
          <c:yVal>
            <c:numRef>
              <c:f>○号!$D$11:$R$11</c:f>
              <c:numCache>
                <c:formatCode>0.0_ </c:formatCode>
                <c:ptCount val="15"/>
              </c:numCache>
            </c:numRef>
          </c:yVal>
          <c:smooth val="0"/>
          <c:extLst>
            <c:ext xmlns:c16="http://schemas.microsoft.com/office/drawing/2014/chart" uri="{C3380CC4-5D6E-409C-BE32-E72D297353CC}">
              <c16:uniqueId val="{00000000-22BC-43F4-B772-4380880BF688}"/>
            </c:ext>
          </c:extLst>
        </c:ser>
        <c:ser>
          <c:idx val="1"/>
          <c:order val="1"/>
          <c:tx>
            <c:v>品温</c:v>
          </c:tx>
          <c:spPr>
            <a:ln w="19050" cap="rnd">
              <a:solidFill>
                <a:schemeClr val="tx1"/>
              </a:solidFill>
              <a:prstDash val="dash"/>
              <a:round/>
            </a:ln>
            <a:effectLst/>
          </c:spPr>
          <c:marker>
            <c:symbol val="circle"/>
            <c:size val="5"/>
            <c:spPr>
              <a:solidFill>
                <a:schemeClr val="tx1"/>
              </a:solidFill>
              <a:ln w="9525">
                <a:solidFill>
                  <a:schemeClr val="tx1"/>
                </a:solidFill>
              </a:ln>
              <a:effectLst/>
            </c:spPr>
          </c:marker>
          <c:yVal>
            <c:numRef>
              <c:f>○号!$D$12:$R$12</c:f>
              <c:numCache>
                <c:formatCode>0.0_ </c:formatCode>
                <c:ptCount val="15"/>
              </c:numCache>
            </c:numRef>
          </c:yVal>
          <c:smooth val="0"/>
          <c:extLst>
            <c:ext xmlns:c16="http://schemas.microsoft.com/office/drawing/2014/chart" uri="{C3380CC4-5D6E-409C-BE32-E72D297353CC}">
              <c16:uniqueId val="{00000001-22BC-43F4-B772-4380880BF688}"/>
            </c:ext>
          </c:extLst>
        </c:ser>
        <c:ser>
          <c:idx val="2"/>
          <c:order val="2"/>
          <c:tx>
            <c:v>ボーメ</c:v>
          </c:tx>
          <c:spPr>
            <a:ln w="19050" cap="rnd">
              <a:solidFill>
                <a:schemeClr val="accent5"/>
              </a:solidFill>
              <a:prstDash val="sysDash"/>
              <a:round/>
            </a:ln>
            <a:effectLst/>
          </c:spPr>
          <c:marker>
            <c:symbol val="circle"/>
            <c:size val="5"/>
            <c:spPr>
              <a:solidFill>
                <a:srgbClr val="0070C0"/>
              </a:solidFill>
              <a:ln w="9525">
                <a:solidFill>
                  <a:srgbClr val="0070C0"/>
                </a:solidFill>
              </a:ln>
              <a:effectLst/>
            </c:spPr>
          </c:marker>
          <c:yVal>
            <c:numRef>
              <c:f>○号!$D$163:$R$163</c:f>
              <c:numCache>
                <c:formatCode>General</c:formatCode>
                <c:ptCount val="1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numCache>
            </c:numRef>
          </c:yVal>
          <c:smooth val="0"/>
          <c:extLst>
            <c:ext xmlns:c16="http://schemas.microsoft.com/office/drawing/2014/chart" uri="{C3380CC4-5D6E-409C-BE32-E72D297353CC}">
              <c16:uniqueId val="{00000002-22BC-43F4-B772-4380880BF688}"/>
            </c:ext>
          </c:extLst>
        </c:ser>
        <c:dLbls>
          <c:showLegendKey val="0"/>
          <c:showVal val="0"/>
          <c:showCatName val="0"/>
          <c:showSerName val="0"/>
          <c:showPercent val="0"/>
          <c:showBubbleSize val="0"/>
        </c:dLbls>
        <c:axId val="327856384"/>
        <c:axId val="462128704"/>
      </c:scatterChart>
      <c:valAx>
        <c:axId val="327856384"/>
        <c:scaling>
          <c:orientation val="minMax"/>
          <c:max val="15"/>
          <c:min val="1"/>
        </c:scaling>
        <c:delete val="1"/>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General" sourceLinked="1"/>
        <c:majorTickMark val="out"/>
        <c:minorTickMark val="none"/>
        <c:tickLblPos val="nextTo"/>
        <c:crossAx val="462128704"/>
        <c:crosses val="autoZero"/>
        <c:crossBetween val="midCat"/>
        <c:majorUnit val="1"/>
      </c:valAx>
      <c:valAx>
        <c:axId val="462128704"/>
        <c:scaling>
          <c:orientation val="minMax"/>
          <c:max val="20"/>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0_ "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27856384"/>
        <c:crosses val="autoZero"/>
        <c:crossBetween val="midCat"/>
        <c:majorUnit val="5"/>
      </c:valAx>
      <c:spPr>
        <a:noFill/>
        <a:ln>
          <a:noFill/>
        </a:ln>
        <a:effectLst/>
      </c:spPr>
    </c:plotArea>
    <c:legend>
      <c:legendPos val="r"/>
      <c:layout>
        <c:manualLayout>
          <c:xMode val="edge"/>
          <c:yMode val="edge"/>
          <c:x val="2.2127683767847163E-2"/>
          <c:y val="0.13286881047034291"/>
          <c:w val="0.43506229518470346"/>
          <c:h val="7.633530782606184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0"/>
    <c:dispBlanksAs val="span"/>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8" orientation="landscape"/>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16</xdr:col>
      <xdr:colOff>333375</xdr:colOff>
      <xdr:row>9</xdr:row>
      <xdr:rowOff>22225</xdr:rowOff>
    </xdr:from>
    <xdr:to>
      <xdr:col>56</xdr:col>
      <xdr:colOff>312510</xdr:colOff>
      <xdr:row>9</xdr:row>
      <xdr:rowOff>3006725</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195384</xdr:colOff>
      <xdr:row>9</xdr:row>
      <xdr:rowOff>2576634</xdr:rowOff>
    </xdr:from>
    <xdr:to>
      <xdr:col>6</xdr:col>
      <xdr:colOff>244230</xdr:colOff>
      <xdr:row>9</xdr:row>
      <xdr:rowOff>2576634</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a:off x="2014659" y="4300659"/>
          <a:ext cx="1306146" cy="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61057</xdr:colOff>
      <xdr:row>9</xdr:row>
      <xdr:rowOff>2320192</xdr:rowOff>
    </xdr:from>
    <xdr:to>
      <xdr:col>16</xdr:col>
      <xdr:colOff>341921</xdr:colOff>
      <xdr:row>9</xdr:row>
      <xdr:rowOff>2576634</xdr:rowOff>
    </xdr:to>
    <xdr:sp macro="" textlink="">
      <xdr:nvSpPr>
        <xdr:cNvPr id="4" name="テキスト ボックス 1">
          <a:extLst>
            <a:ext uri="{FF2B5EF4-FFF2-40B4-BE49-F238E27FC236}">
              <a16:creationId xmlns:a16="http://schemas.microsoft.com/office/drawing/2014/main" id="{00000000-0008-0000-0300-000004000000}"/>
            </a:ext>
          </a:extLst>
        </xdr:cNvPr>
        <xdr:cNvSpPr txBox="1"/>
      </xdr:nvSpPr>
      <xdr:spPr>
        <a:xfrm>
          <a:off x="6900007" y="4044217"/>
          <a:ext cx="699964" cy="256442"/>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ja-JP" altLang="en-US" sz="1100"/>
            <a:t>留添</a:t>
          </a:r>
        </a:p>
      </xdr:txBody>
    </xdr:sp>
    <xdr:clientData/>
  </xdr:twoCellAnchor>
  <xdr:twoCellAnchor>
    <xdr:from>
      <xdr:col>3</xdr:col>
      <xdr:colOff>66675</xdr:colOff>
      <xdr:row>9</xdr:row>
      <xdr:rowOff>22225</xdr:rowOff>
    </xdr:from>
    <xdr:to>
      <xdr:col>17</xdr:col>
      <xdr:colOff>257175</xdr:colOff>
      <xdr:row>9</xdr:row>
      <xdr:rowOff>3009901</xdr:rowOff>
    </xdr:to>
    <xdr:graphicFrame macro="">
      <xdr:nvGraphicFramePr>
        <xdr:cNvPr id="5" name="グラフ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276225</xdr:colOff>
      <xdr:row>129</xdr:row>
      <xdr:rowOff>38100</xdr:rowOff>
    </xdr:from>
    <xdr:to>
      <xdr:col>14</xdr:col>
      <xdr:colOff>342900</xdr:colOff>
      <xdr:row>132</xdr:row>
      <xdr:rowOff>95250</xdr:rowOff>
    </xdr:to>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3352800" y="33404175"/>
          <a:ext cx="340995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グラフ描画用に、一度ここで</a:t>
          </a:r>
          <a:r>
            <a:rPr kumimoji="1" lang="en-US" altLang="ja-JP" sz="1100"/>
            <a:t>#NA</a:t>
          </a:r>
          <a:r>
            <a:rPr kumimoji="1" lang="ja-JP" altLang="en-US" sz="1100"/>
            <a:t>を入れて計算したものを、＃</a:t>
          </a:r>
          <a:r>
            <a:rPr kumimoji="1" lang="en-US" altLang="ja-JP" sz="1100"/>
            <a:t>NA</a:t>
          </a:r>
          <a:r>
            <a:rPr kumimoji="1" lang="ja-JP" altLang="en-US" sz="1100"/>
            <a:t>を消して上の</a:t>
          </a:r>
          <a:r>
            <a:rPr kumimoji="1" lang="en-US" altLang="ja-JP" sz="1100"/>
            <a:t>17</a:t>
          </a:r>
          <a:r>
            <a:rPr kumimoji="1" lang="ja-JP" altLang="en-US" sz="1100"/>
            <a:t>～</a:t>
          </a:r>
          <a:r>
            <a:rPr kumimoji="1" lang="en-US" altLang="ja-JP" sz="1100"/>
            <a:t>25</a:t>
          </a:r>
          <a:r>
            <a:rPr kumimoji="1" lang="ja-JP" altLang="en-US" sz="1100"/>
            <a:t>行に持っていく（表示上、＃</a:t>
          </a:r>
          <a:r>
            <a:rPr kumimoji="1" lang="en-US" altLang="ja-JP" sz="1100"/>
            <a:t>NA</a:t>
          </a:r>
          <a:r>
            <a:rPr kumimoji="1" lang="ja-JP" altLang="en-US" sz="1100"/>
            <a:t>が見にくいため）</a:t>
          </a:r>
        </a:p>
      </xdr:txBody>
    </xdr:sp>
    <xdr:clientData/>
  </xdr:twoCellAnchor>
  <xdr:twoCellAnchor>
    <xdr:from>
      <xdr:col>6</xdr:col>
      <xdr:colOff>28575</xdr:colOff>
      <xdr:row>140</xdr:row>
      <xdr:rowOff>180975</xdr:rowOff>
    </xdr:from>
    <xdr:to>
      <xdr:col>14</xdr:col>
      <xdr:colOff>142875</xdr:colOff>
      <xdr:row>144</xdr:row>
      <xdr:rowOff>9525</xdr:rowOff>
    </xdr:to>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3105150" y="36061650"/>
          <a:ext cx="34575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グラフ描画用に、一度ここで計算したものを、＃</a:t>
          </a:r>
          <a:r>
            <a:rPr kumimoji="1" lang="en-US" altLang="ja-JP" sz="1100"/>
            <a:t>NA</a:t>
          </a:r>
          <a:r>
            <a:rPr kumimoji="1" lang="ja-JP" altLang="en-US" sz="1100"/>
            <a:t>を消して上の</a:t>
          </a:r>
          <a:r>
            <a:rPr kumimoji="1" lang="en-US" altLang="ja-JP" sz="1100"/>
            <a:t>17</a:t>
          </a:r>
          <a:r>
            <a:rPr kumimoji="1" lang="ja-JP" altLang="en-US" sz="1100"/>
            <a:t>～</a:t>
          </a:r>
          <a:r>
            <a:rPr kumimoji="1" lang="en-US" altLang="ja-JP" sz="1100"/>
            <a:t>25</a:t>
          </a:r>
          <a:r>
            <a:rPr kumimoji="1" lang="ja-JP" altLang="en-US" sz="1100"/>
            <a:t>行に持っていく（＃</a:t>
          </a:r>
          <a:r>
            <a:rPr kumimoji="1" lang="en-US" altLang="ja-JP" sz="1100"/>
            <a:t>NA</a:t>
          </a:r>
          <a:r>
            <a:rPr kumimoji="1" lang="ja-JP" altLang="en-US" sz="1100"/>
            <a:t>が見にくいため）</a:t>
          </a:r>
        </a:p>
      </xdr:txBody>
    </xdr:sp>
    <xdr:clientData/>
  </xdr:twoCellAnchor>
  <xdr:twoCellAnchor>
    <xdr:from>
      <xdr:col>44</xdr:col>
      <xdr:colOff>195943</xdr:colOff>
      <xdr:row>30</xdr:row>
      <xdr:rowOff>195942</xdr:rowOff>
    </xdr:from>
    <xdr:to>
      <xdr:col>49</xdr:col>
      <xdr:colOff>359229</xdr:colOff>
      <xdr:row>32</xdr:row>
      <xdr:rowOff>130628</xdr:rowOff>
    </xdr:to>
    <xdr:cxnSp macro="">
      <xdr:nvCxnSpPr>
        <xdr:cNvPr id="11" name="直線矢印コネクタ 10">
          <a:extLst>
            <a:ext uri="{FF2B5EF4-FFF2-40B4-BE49-F238E27FC236}">
              <a16:creationId xmlns:a16="http://schemas.microsoft.com/office/drawing/2014/main" id="{00000000-0008-0000-0300-00000B000000}"/>
            </a:ext>
          </a:extLst>
        </xdr:cNvPr>
        <xdr:cNvCxnSpPr/>
      </xdr:nvCxnSpPr>
      <xdr:spPr>
        <a:xfrm>
          <a:off x="19188793" y="8406492"/>
          <a:ext cx="2258786" cy="391886"/>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348343</xdr:colOff>
      <xdr:row>30</xdr:row>
      <xdr:rowOff>152400</xdr:rowOff>
    </xdr:from>
    <xdr:to>
      <xdr:col>49</xdr:col>
      <xdr:colOff>315686</xdr:colOff>
      <xdr:row>32</xdr:row>
      <xdr:rowOff>130630</xdr:rowOff>
    </xdr:to>
    <xdr:cxnSp macro="">
      <xdr:nvCxnSpPr>
        <xdr:cNvPr id="12" name="直線矢印コネクタ 11">
          <a:extLst>
            <a:ext uri="{FF2B5EF4-FFF2-40B4-BE49-F238E27FC236}">
              <a16:creationId xmlns:a16="http://schemas.microsoft.com/office/drawing/2014/main" id="{00000000-0008-0000-0300-00000C000000}"/>
            </a:ext>
          </a:extLst>
        </xdr:cNvPr>
        <xdr:cNvCxnSpPr/>
      </xdr:nvCxnSpPr>
      <xdr:spPr>
        <a:xfrm flipV="1">
          <a:off x="18922093" y="8362950"/>
          <a:ext cx="2481943" cy="435430"/>
        </a:xfrm>
        <a:prstGeom prst="straightConnector1">
          <a:avLst/>
        </a:prstGeom>
        <a:ln w="127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43543</xdr:colOff>
      <xdr:row>30</xdr:row>
      <xdr:rowOff>54428</xdr:rowOff>
    </xdr:from>
    <xdr:to>
      <xdr:col>34</xdr:col>
      <xdr:colOff>217714</xdr:colOff>
      <xdr:row>31</xdr:row>
      <xdr:rowOff>206828</xdr:rowOff>
    </xdr:to>
    <xdr:sp macro="" textlink="">
      <xdr:nvSpPr>
        <xdr:cNvPr id="13" name="矢印: 左カーブ 12">
          <a:extLst>
            <a:ext uri="{FF2B5EF4-FFF2-40B4-BE49-F238E27FC236}">
              <a16:creationId xmlns:a16="http://schemas.microsoft.com/office/drawing/2014/main" id="{00000000-0008-0000-0300-00000D000000}"/>
            </a:ext>
          </a:extLst>
        </xdr:cNvPr>
        <xdr:cNvSpPr/>
      </xdr:nvSpPr>
      <xdr:spPr>
        <a:xfrm>
          <a:off x="14845393" y="8264978"/>
          <a:ext cx="174171" cy="381000"/>
        </a:xfrm>
        <a:prstGeom prst="curvedLef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27</xdr:col>
      <xdr:colOff>165100</xdr:colOff>
      <xdr:row>0</xdr:row>
      <xdr:rowOff>94615</xdr:rowOff>
    </xdr:from>
    <xdr:to>
      <xdr:col>52</xdr:col>
      <xdr:colOff>161829</xdr:colOff>
      <xdr:row>1</xdr:row>
      <xdr:rowOff>327025</xdr:rowOff>
    </xdr:to>
    <xdr:sp macro="" textlink="">
      <xdr:nvSpPr>
        <xdr:cNvPr id="6" name="テキスト ボックス 5">
          <a:extLst>
            <a:ext uri="{FF2B5EF4-FFF2-40B4-BE49-F238E27FC236}">
              <a16:creationId xmlns:a16="http://schemas.microsoft.com/office/drawing/2014/main" id="{40385907-934B-4BA1-B720-8271845F4D49}"/>
            </a:ext>
          </a:extLst>
        </xdr:cNvPr>
        <xdr:cNvSpPr txBox="1"/>
      </xdr:nvSpPr>
      <xdr:spPr>
        <a:xfrm>
          <a:off x="10939780" y="94615"/>
          <a:ext cx="9521729" cy="537210"/>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24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赤枠で示した部分</a:t>
          </a:r>
          <a:r>
            <a:rPr lang="ja-JP" altLang="en-US" sz="24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（５か所）</a:t>
          </a:r>
          <a:r>
            <a:rPr lang="ja-JP" sz="24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が御記入いただきたい部分です。</a:t>
          </a:r>
          <a:endParaRPr lang="en-US" altLang="ja-JP" sz="24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0</xdr:col>
      <xdr:colOff>0</xdr:colOff>
      <xdr:row>3</xdr:row>
      <xdr:rowOff>0</xdr:rowOff>
    </xdr:from>
    <xdr:to>
      <xdr:col>57</xdr:col>
      <xdr:colOff>1</xdr:colOff>
      <xdr:row>19</xdr:row>
      <xdr:rowOff>0</xdr:rowOff>
    </xdr:to>
    <xdr:sp macro="" textlink="">
      <xdr:nvSpPr>
        <xdr:cNvPr id="7" name="正方形/長方形 6">
          <a:extLst>
            <a:ext uri="{FF2B5EF4-FFF2-40B4-BE49-F238E27FC236}">
              <a16:creationId xmlns:a16="http://schemas.microsoft.com/office/drawing/2014/main" id="{D3EC0522-395A-40F6-E15C-955E14B20F35}"/>
            </a:ext>
          </a:extLst>
        </xdr:cNvPr>
        <xdr:cNvSpPr/>
      </xdr:nvSpPr>
      <xdr:spPr>
        <a:xfrm>
          <a:off x="0" y="873125"/>
          <a:ext cx="21351876" cy="6969125"/>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69</xdr:row>
      <xdr:rowOff>1</xdr:rowOff>
    </xdr:from>
    <xdr:to>
      <xdr:col>26</xdr:col>
      <xdr:colOff>365124</xdr:colOff>
      <xdr:row>74</xdr:row>
      <xdr:rowOff>1</xdr:rowOff>
    </xdr:to>
    <xdr:sp macro="" textlink="">
      <xdr:nvSpPr>
        <xdr:cNvPr id="8" name="正方形/長方形 7">
          <a:extLst>
            <a:ext uri="{FF2B5EF4-FFF2-40B4-BE49-F238E27FC236}">
              <a16:creationId xmlns:a16="http://schemas.microsoft.com/office/drawing/2014/main" id="{73B9D030-0427-0CB6-8E79-93CBDD8AB3E9}"/>
            </a:ext>
          </a:extLst>
        </xdr:cNvPr>
        <xdr:cNvSpPr/>
      </xdr:nvSpPr>
      <xdr:spPr>
        <a:xfrm>
          <a:off x="0" y="17510126"/>
          <a:ext cx="10398124" cy="1270000"/>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0</xdr:colOff>
      <xdr:row>69</xdr:row>
      <xdr:rowOff>0</xdr:rowOff>
    </xdr:from>
    <xdr:to>
      <xdr:col>33</xdr:col>
      <xdr:colOff>0</xdr:colOff>
      <xdr:row>73</xdr:row>
      <xdr:rowOff>0</xdr:rowOff>
    </xdr:to>
    <xdr:sp macro="" textlink="">
      <xdr:nvSpPr>
        <xdr:cNvPr id="14" name="正方形/長方形 13">
          <a:extLst>
            <a:ext uri="{FF2B5EF4-FFF2-40B4-BE49-F238E27FC236}">
              <a16:creationId xmlns:a16="http://schemas.microsoft.com/office/drawing/2014/main" id="{89C46E68-364C-E5B7-82A3-9D88E8B7352E}"/>
            </a:ext>
          </a:extLst>
        </xdr:cNvPr>
        <xdr:cNvSpPr/>
      </xdr:nvSpPr>
      <xdr:spPr>
        <a:xfrm>
          <a:off x="10763250" y="17510125"/>
          <a:ext cx="1825625" cy="1016000"/>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0</xdr:colOff>
      <xdr:row>110</xdr:row>
      <xdr:rowOff>0</xdr:rowOff>
    </xdr:from>
    <xdr:to>
      <xdr:col>36</xdr:col>
      <xdr:colOff>0</xdr:colOff>
      <xdr:row>117</xdr:row>
      <xdr:rowOff>0</xdr:rowOff>
    </xdr:to>
    <xdr:sp macro="" textlink="">
      <xdr:nvSpPr>
        <xdr:cNvPr id="15" name="正方形/長方形 14">
          <a:extLst>
            <a:ext uri="{FF2B5EF4-FFF2-40B4-BE49-F238E27FC236}">
              <a16:creationId xmlns:a16="http://schemas.microsoft.com/office/drawing/2014/main" id="{F8247292-A025-FD0C-989F-A723BE91D07C}"/>
            </a:ext>
          </a:extLst>
        </xdr:cNvPr>
        <xdr:cNvSpPr/>
      </xdr:nvSpPr>
      <xdr:spPr>
        <a:xfrm>
          <a:off x="8207375" y="27924125"/>
          <a:ext cx="5476875" cy="1778000"/>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0</xdr:colOff>
      <xdr:row>110</xdr:row>
      <xdr:rowOff>0</xdr:rowOff>
    </xdr:from>
    <xdr:to>
      <xdr:col>46</xdr:col>
      <xdr:colOff>0</xdr:colOff>
      <xdr:row>114</xdr:row>
      <xdr:rowOff>0</xdr:rowOff>
    </xdr:to>
    <xdr:sp macro="" textlink="">
      <xdr:nvSpPr>
        <xdr:cNvPr id="16" name="正方形/長方形 15">
          <a:extLst>
            <a:ext uri="{FF2B5EF4-FFF2-40B4-BE49-F238E27FC236}">
              <a16:creationId xmlns:a16="http://schemas.microsoft.com/office/drawing/2014/main" id="{96EF1261-5DB3-79CA-1E39-503B9E65A0B5}"/>
            </a:ext>
          </a:extLst>
        </xdr:cNvPr>
        <xdr:cNvSpPr/>
      </xdr:nvSpPr>
      <xdr:spPr>
        <a:xfrm>
          <a:off x="14779625" y="27924125"/>
          <a:ext cx="2555875" cy="1016000"/>
        </a:xfrm>
        <a:prstGeom prst="rect">
          <a:avLst/>
        </a:prstGeom>
        <a:noFill/>
        <a:ln w="762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0.3669</cdr:x>
      <cdr:y>0.9359</cdr:y>
    </cdr:from>
    <cdr:to>
      <cdr:x>0.70165</cdr:x>
      <cdr:y>0.9359</cdr:y>
    </cdr:to>
    <cdr:cxnSp macro="">
      <cdr:nvCxnSpPr>
        <cdr:cNvPr id="3" name="直線矢印コネクタ 2">
          <a:extLst xmlns:a="http://schemas.openxmlformats.org/drawingml/2006/main">
            <a:ext uri="{FF2B5EF4-FFF2-40B4-BE49-F238E27FC236}">
              <a16:creationId xmlns:a16="http://schemas.microsoft.com/office/drawing/2014/main" id="{80B96794-E238-4EE9-BA20-AEAF480BDB52}"/>
            </a:ext>
          </a:extLst>
        </cdr:cNvPr>
        <cdr:cNvCxnSpPr/>
      </cdr:nvCxnSpPr>
      <cdr:spPr>
        <a:xfrm xmlns:a="http://schemas.openxmlformats.org/drawingml/2006/main">
          <a:off x="2018430" y="2781300"/>
          <a:ext cx="1841500" cy="2"/>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0.70396</cdr:x>
      <cdr:y>0.93784</cdr:y>
    </cdr:from>
    <cdr:to>
      <cdr:x>0.99307</cdr:x>
      <cdr:y>0.94017</cdr:y>
    </cdr:to>
    <cdr:cxnSp macro="">
      <cdr:nvCxnSpPr>
        <cdr:cNvPr id="4" name="直線矢印コネクタ 3">
          <a:extLst xmlns:a="http://schemas.openxmlformats.org/drawingml/2006/main">
            <a:ext uri="{FF2B5EF4-FFF2-40B4-BE49-F238E27FC236}">
              <a16:creationId xmlns:a16="http://schemas.microsoft.com/office/drawing/2014/main" id="{AAB4E4D8-2CE3-40BF-952D-7E6EBB7ADE67}"/>
            </a:ext>
          </a:extLst>
        </cdr:cNvPr>
        <cdr:cNvCxnSpPr/>
      </cdr:nvCxnSpPr>
      <cdr:spPr>
        <a:xfrm xmlns:a="http://schemas.openxmlformats.org/drawingml/2006/main" flipV="1">
          <a:off x="3872630" y="2787077"/>
          <a:ext cx="1590511" cy="6923"/>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0.12892</cdr:x>
      <cdr:y>0.84864</cdr:y>
    </cdr:from>
    <cdr:to>
      <cdr:x>0.24135</cdr:x>
      <cdr:y>0.94115</cdr:y>
    </cdr:to>
    <cdr:sp macro="" textlink="">
      <cdr:nvSpPr>
        <cdr:cNvPr id="5" name="テキスト ボックス 4"/>
        <cdr:cNvSpPr txBox="1"/>
      </cdr:nvSpPr>
      <cdr:spPr>
        <a:xfrm xmlns:a="http://schemas.openxmlformats.org/drawingml/2006/main">
          <a:off x="709212" y="2521994"/>
          <a:ext cx="618505" cy="2749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初添</a:t>
          </a:r>
        </a:p>
      </cdr:txBody>
    </cdr:sp>
  </cdr:relSizeAnchor>
  <cdr:relSizeAnchor xmlns:cdr="http://schemas.openxmlformats.org/drawingml/2006/chartDrawing">
    <cdr:from>
      <cdr:x>0.30743</cdr:x>
      <cdr:y>0.84974</cdr:y>
    </cdr:from>
    <cdr:to>
      <cdr:x>0.41986</cdr:x>
      <cdr:y>0.94225</cdr:y>
    </cdr:to>
    <cdr:sp macro="" textlink="">
      <cdr:nvSpPr>
        <cdr:cNvPr id="6" name="テキスト ボックス 1"/>
        <cdr:cNvSpPr txBox="1"/>
      </cdr:nvSpPr>
      <cdr:spPr>
        <a:xfrm xmlns:a="http://schemas.openxmlformats.org/drawingml/2006/main">
          <a:off x="1691223" y="2525262"/>
          <a:ext cx="618504" cy="2749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100"/>
            <a:t>踊</a:t>
          </a:r>
        </a:p>
      </cdr:txBody>
    </cdr:sp>
  </cdr:relSizeAnchor>
  <cdr:relSizeAnchor xmlns:cdr="http://schemas.openxmlformats.org/drawingml/2006/chartDrawing">
    <cdr:from>
      <cdr:x>0.48389</cdr:x>
      <cdr:y>0.8452</cdr:y>
    </cdr:from>
    <cdr:to>
      <cdr:x>0.59631</cdr:x>
      <cdr:y>0.93772</cdr:y>
    </cdr:to>
    <cdr:sp macro="" textlink="">
      <cdr:nvSpPr>
        <cdr:cNvPr id="7" name="テキスト ボックス 1"/>
        <cdr:cNvSpPr txBox="1"/>
      </cdr:nvSpPr>
      <cdr:spPr>
        <a:xfrm xmlns:a="http://schemas.openxmlformats.org/drawingml/2006/main">
          <a:off x="2661988" y="2511780"/>
          <a:ext cx="618449" cy="274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100"/>
            <a:t>仲添</a:t>
          </a:r>
        </a:p>
      </cdr:txBody>
    </cdr:sp>
  </cdr:relSizeAnchor>
  <cdr:relSizeAnchor xmlns:cdr="http://schemas.openxmlformats.org/drawingml/2006/chartDrawing">
    <cdr:from>
      <cdr:x>0.808</cdr:x>
      <cdr:y>0.84188</cdr:y>
    </cdr:from>
    <cdr:to>
      <cdr:x>0.92042</cdr:x>
      <cdr:y>0.93439</cdr:y>
    </cdr:to>
    <cdr:sp macro="" textlink="">
      <cdr:nvSpPr>
        <cdr:cNvPr id="9" name="テキスト ボックス 1">
          <a:extLst xmlns:a="http://schemas.openxmlformats.org/drawingml/2006/main">
            <a:ext uri="{FF2B5EF4-FFF2-40B4-BE49-F238E27FC236}">
              <a16:creationId xmlns:a16="http://schemas.microsoft.com/office/drawing/2014/main" id="{0E05EE30-7D7C-4429-B596-ACA555BCEFA4}"/>
            </a:ext>
          </a:extLst>
        </cdr:cNvPr>
        <cdr:cNvSpPr txBox="1"/>
      </cdr:nvSpPr>
      <cdr:spPr>
        <a:xfrm xmlns:a="http://schemas.openxmlformats.org/drawingml/2006/main">
          <a:off x="4445000" y="2501900"/>
          <a:ext cx="618449" cy="27492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1100"/>
            <a:t>留添</a:t>
          </a:r>
        </a:p>
      </cdr:txBody>
    </cdr:sp>
  </cdr:relSizeAnchor>
  <cdr:relSizeAnchor xmlns:cdr="http://schemas.openxmlformats.org/drawingml/2006/chartDrawing">
    <cdr:from>
      <cdr:x>0.06018</cdr:x>
      <cdr:y>0.93789</cdr:y>
    </cdr:from>
    <cdr:to>
      <cdr:x>0.31102</cdr:x>
      <cdr:y>0.93838</cdr:y>
    </cdr:to>
    <cdr:cxnSp macro="">
      <cdr:nvCxnSpPr>
        <cdr:cNvPr id="13" name="直線矢印コネクタ 12">
          <a:extLst xmlns:a="http://schemas.openxmlformats.org/drawingml/2006/main">
            <a:ext uri="{FF2B5EF4-FFF2-40B4-BE49-F238E27FC236}">
              <a16:creationId xmlns:a16="http://schemas.microsoft.com/office/drawing/2014/main" id="{25993CD6-36AD-4DB1-A0DF-AD42BC661C95}"/>
            </a:ext>
          </a:extLst>
        </cdr:cNvPr>
        <cdr:cNvCxnSpPr/>
      </cdr:nvCxnSpPr>
      <cdr:spPr>
        <a:xfrm xmlns:a="http://schemas.openxmlformats.org/drawingml/2006/main" flipV="1">
          <a:off x="334335" y="2787207"/>
          <a:ext cx="1393472" cy="1477"/>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DA362"/>
  <sheetViews>
    <sheetView tabSelected="1" view="pageBreakPreview" topLeftCell="F1" zoomScale="60" zoomScaleNormal="60" workbookViewId="0">
      <selection activeCell="AR252" sqref="AR252:AT252"/>
    </sheetView>
  </sheetViews>
  <sheetFormatPr defaultRowHeight="13.2"/>
  <cols>
    <col min="2" max="2" width="5" style="2" customWidth="1"/>
    <col min="3" max="3" width="9.88671875" style="2" customWidth="1"/>
    <col min="4" max="7" width="5.44140625" style="2" customWidth="1"/>
    <col min="8" max="8" width="5.33203125" style="2" customWidth="1"/>
    <col min="9" max="57" width="5.44140625" style="2" customWidth="1"/>
    <col min="58" max="58" width="3.6640625" customWidth="1"/>
    <col min="59" max="63" width="9" customWidth="1"/>
    <col min="64" max="64" width="8.88671875" customWidth="1"/>
  </cols>
  <sheetData>
    <row r="1" spans="1:57" ht="24" customHeight="1" thickBot="1">
      <c r="A1" s="47"/>
      <c r="BC1" s="300" t="s">
        <v>375</v>
      </c>
    </row>
    <row r="2" spans="1:57" ht="27.75" customHeight="1" thickBot="1">
      <c r="A2" s="667" t="s">
        <v>10</v>
      </c>
      <c r="B2" s="668"/>
      <c r="C2" s="668"/>
      <c r="D2" s="669" t="str">
        <f ca="1">RIGHT(CELL("filename",D2),LEN(CELL("filename",D2))-FIND("]",CELL("filename",D2)))</f>
        <v>○号</v>
      </c>
      <c r="E2" s="670"/>
      <c r="F2" s="670"/>
      <c r="G2" s="670"/>
      <c r="H2" s="671"/>
      <c r="I2" s="750" t="s">
        <v>332</v>
      </c>
      <c r="J2" s="751"/>
      <c r="K2" s="751"/>
      <c r="L2" s="838"/>
      <c r="M2" s="839"/>
      <c r="N2" s="840"/>
      <c r="O2" s="840"/>
      <c r="P2" s="840"/>
      <c r="Q2" s="840"/>
      <c r="R2" s="841"/>
      <c r="S2" s="739" t="s">
        <v>256</v>
      </c>
      <c r="T2" s="740"/>
      <c r="U2" s="740"/>
      <c r="V2" s="741" t="s">
        <v>257</v>
      </c>
      <c r="W2" s="742"/>
      <c r="X2" s="742"/>
      <c r="Y2" s="743"/>
    </row>
    <row r="3" spans="1:57" ht="18" customHeight="1" thickBot="1">
      <c r="A3" s="752" t="s">
        <v>14</v>
      </c>
      <c r="B3" s="753"/>
      <c r="C3" s="754"/>
      <c r="D3" s="657" t="s">
        <v>11</v>
      </c>
      <c r="E3" s="658"/>
      <c r="F3" s="658"/>
      <c r="G3" s="755"/>
      <c r="H3" s="126" t="s">
        <v>12</v>
      </c>
      <c r="I3" s="657" t="s">
        <v>13</v>
      </c>
      <c r="J3" s="658"/>
      <c r="K3" s="658"/>
      <c r="L3" s="658"/>
      <c r="M3" s="756"/>
      <c r="N3" s="657" t="s">
        <v>18</v>
      </c>
      <c r="O3" s="658"/>
      <c r="P3" s="658"/>
      <c r="Q3" s="658"/>
      <c r="R3" s="755"/>
      <c r="S3" s="221">
        <v>2</v>
      </c>
      <c r="T3" s="195">
        <v>3</v>
      </c>
      <c r="U3" s="195">
        <v>4</v>
      </c>
      <c r="V3" s="222">
        <v>5</v>
      </c>
      <c r="W3" s="222">
        <v>6</v>
      </c>
      <c r="X3" s="222">
        <v>7</v>
      </c>
      <c r="Y3" s="222">
        <v>8</v>
      </c>
      <c r="Z3" s="195">
        <v>9</v>
      </c>
      <c r="AA3" s="195">
        <v>10</v>
      </c>
      <c r="AB3" s="195">
        <v>11</v>
      </c>
      <c r="AC3" s="195">
        <v>12</v>
      </c>
      <c r="AD3" s="195">
        <v>13</v>
      </c>
      <c r="AE3" s="195">
        <v>14</v>
      </c>
      <c r="AF3" s="195">
        <v>15</v>
      </c>
      <c r="AG3" s="195">
        <v>16</v>
      </c>
      <c r="AH3" s="195">
        <v>17</v>
      </c>
      <c r="AI3" s="195">
        <v>18</v>
      </c>
      <c r="AJ3" s="195">
        <v>19</v>
      </c>
      <c r="AK3" s="195">
        <v>20</v>
      </c>
      <c r="AL3" s="195">
        <v>21</v>
      </c>
      <c r="AM3" s="195">
        <v>22</v>
      </c>
      <c r="AN3" s="195">
        <v>23</v>
      </c>
      <c r="AO3" s="195">
        <v>24</v>
      </c>
      <c r="AP3" s="195">
        <v>25</v>
      </c>
      <c r="AQ3" s="195">
        <v>26</v>
      </c>
      <c r="AR3" s="195">
        <v>27</v>
      </c>
      <c r="AS3" s="195">
        <v>28</v>
      </c>
      <c r="AT3" s="195">
        <v>29</v>
      </c>
      <c r="AU3" s="195">
        <v>30</v>
      </c>
      <c r="AV3" s="195">
        <v>31</v>
      </c>
      <c r="AW3" s="195">
        <v>32</v>
      </c>
      <c r="AX3" s="195">
        <v>33</v>
      </c>
      <c r="AY3" s="195">
        <v>34</v>
      </c>
      <c r="AZ3" s="195">
        <v>35</v>
      </c>
      <c r="BA3" s="195">
        <v>36</v>
      </c>
      <c r="BB3" s="195">
        <v>37</v>
      </c>
      <c r="BC3" s="195">
        <v>38</v>
      </c>
      <c r="BD3" s="195">
        <v>39</v>
      </c>
      <c r="BE3" s="196">
        <v>40</v>
      </c>
    </row>
    <row r="4" spans="1:57" ht="18" customHeight="1">
      <c r="A4" s="672" t="s">
        <v>16</v>
      </c>
      <c r="B4" s="673"/>
      <c r="C4" s="759"/>
      <c r="D4" s="744">
        <v>45677</v>
      </c>
      <c r="E4" s="745"/>
      <c r="F4" s="745"/>
      <c r="G4" s="746"/>
      <c r="H4" s="223">
        <f>D4+1</f>
        <v>45678</v>
      </c>
      <c r="I4" s="747">
        <f>H4+1</f>
        <v>45679</v>
      </c>
      <c r="J4" s="748"/>
      <c r="K4" s="748"/>
      <c r="L4" s="748"/>
      <c r="M4" s="749"/>
      <c r="N4" s="747">
        <f>I4+1</f>
        <v>45680</v>
      </c>
      <c r="O4" s="748"/>
      <c r="P4" s="748"/>
      <c r="Q4" s="748"/>
      <c r="R4" s="749"/>
      <c r="S4" s="223">
        <f>N4+1</f>
        <v>45681</v>
      </c>
      <c r="T4" s="223">
        <f>S4+1</f>
        <v>45682</v>
      </c>
      <c r="U4" s="223">
        <f>T4+1</f>
        <v>45683</v>
      </c>
      <c r="V4" s="223">
        <f t="shared" ref="V4:BE4" si="0">U4+1</f>
        <v>45684</v>
      </c>
      <c r="W4" s="223">
        <f t="shared" si="0"/>
        <v>45685</v>
      </c>
      <c r="X4" s="223">
        <f t="shared" si="0"/>
        <v>45686</v>
      </c>
      <c r="Y4" s="223">
        <f t="shared" si="0"/>
        <v>45687</v>
      </c>
      <c r="Z4" s="223">
        <f t="shared" si="0"/>
        <v>45688</v>
      </c>
      <c r="AA4" s="223">
        <f t="shared" si="0"/>
        <v>45689</v>
      </c>
      <c r="AB4" s="223">
        <f t="shared" si="0"/>
        <v>45690</v>
      </c>
      <c r="AC4" s="223">
        <f t="shared" si="0"/>
        <v>45691</v>
      </c>
      <c r="AD4" s="223">
        <f t="shared" si="0"/>
        <v>45692</v>
      </c>
      <c r="AE4" s="223">
        <f t="shared" si="0"/>
        <v>45693</v>
      </c>
      <c r="AF4" s="223">
        <f t="shared" si="0"/>
        <v>45694</v>
      </c>
      <c r="AG4" s="223">
        <f t="shared" si="0"/>
        <v>45695</v>
      </c>
      <c r="AH4" s="223">
        <f t="shared" si="0"/>
        <v>45696</v>
      </c>
      <c r="AI4" s="223">
        <f t="shared" si="0"/>
        <v>45697</v>
      </c>
      <c r="AJ4" s="223">
        <f t="shared" si="0"/>
        <v>45698</v>
      </c>
      <c r="AK4" s="223">
        <f t="shared" si="0"/>
        <v>45699</v>
      </c>
      <c r="AL4" s="223">
        <f t="shared" si="0"/>
        <v>45700</v>
      </c>
      <c r="AM4" s="223">
        <f t="shared" si="0"/>
        <v>45701</v>
      </c>
      <c r="AN4" s="223">
        <f t="shared" si="0"/>
        <v>45702</v>
      </c>
      <c r="AO4" s="223">
        <f t="shared" si="0"/>
        <v>45703</v>
      </c>
      <c r="AP4" s="223">
        <f t="shared" si="0"/>
        <v>45704</v>
      </c>
      <c r="AQ4" s="223">
        <f t="shared" si="0"/>
        <v>45705</v>
      </c>
      <c r="AR4" s="223">
        <f t="shared" si="0"/>
        <v>45706</v>
      </c>
      <c r="AS4" s="223">
        <f t="shared" si="0"/>
        <v>45707</v>
      </c>
      <c r="AT4" s="223">
        <f t="shared" si="0"/>
        <v>45708</v>
      </c>
      <c r="AU4" s="223">
        <f t="shared" si="0"/>
        <v>45709</v>
      </c>
      <c r="AV4" s="223">
        <f t="shared" si="0"/>
        <v>45710</v>
      </c>
      <c r="AW4" s="223">
        <f t="shared" si="0"/>
        <v>45711</v>
      </c>
      <c r="AX4" s="223">
        <f t="shared" si="0"/>
        <v>45712</v>
      </c>
      <c r="AY4" s="223">
        <f t="shared" si="0"/>
        <v>45713</v>
      </c>
      <c r="AZ4" s="223">
        <f t="shared" si="0"/>
        <v>45714</v>
      </c>
      <c r="BA4" s="223">
        <f t="shared" si="0"/>
        <v>45715</v>
      </c>
      <c r="BB4" s="223">
        <f t="shared" si="0"/>
        <v>45716</v>
      </c>
      <c r="BC4" s="223">
        <f t="shared" si="0"/>
        <v>45717</v>
      </c>
      <c r="BD4" s="223">
        <f t="shared" si="0"/>
        <v>45718</v>
      </c>
      <c r="BE4" s="223">
        <f t="shared" si="0"/>
        <v>45719</v>
      </c>
    </row>
    <row r="5" spans="1:57" ht="18" customHeight="1">
      <c r="A5" s="306" t="s">
        <v>17</v>
      </c>
      <c r="B5" s="307"/>
      <c r="C5" s="308"/>
      <c r="D5" s="123"/>
      <c r="E5" s="117"/>
      <c r="F5" s="117"/>
      <c r="G5" s="118"/>
      <c r="H5" s="124"/>
      <c r="I5" s="123"/>
      <c r="J5" s="117"/>
      <c r="K5" s="117"/>
      <c r="L5" s="117"/>
      <c r="M5" s="150"/>
      <c r="N5" s="123"/>
      <c r="O5" s="117"/>
      <c r="P5" s="117"/>
      <c r="Q5" s="117"/>
      <c r="R5" s="118"/>
      <c r="S5" s="119"/>
      <c r="T5" s="119"/>
      <c r="U5" s="119"/>
      <c r="V5" s="119"/>
      <c r="W5" s="119"/>
      <c r="X5" s="119"/>
      <c r="Y5" s="119"/>
      <c r="Z5" s="119"/>
      <c r="AA5" s="119"/>
      <c r="AB5" s="119"/>
      <c r="AC5" s="119"/>
      <c r="AD5" s="119"/>
      <c r="AE5" s="119"/>
      <c r="AF5" s="119"/>
      <c r="AG5" s="119"/>
      <c r="AH5" s="119"/>
      <c r="AI5" s="119"/>
      <c r="AJ5" s="119"/>
      <c r="AK5" s="119"/>
      <c r="AL5" s="119"/>
      <c r="AM5" s="119"/>
      <c r="AN5" s="119"/>
      <c r="AO5" s="119"/>
      <c r="AP5" s="119"/>
      <c r="AQ5" s="119"/>
      <c r="AR5" s="119"/>
      <c r="AS5" s="119"/>
      <c r="AT5" s="119"/>
      <c r="AU5" s="119"/>
      <c r="AV5" s="117"/>
      <c r="AW5" s="117"/>
      <c r="AX5" s="117"/>
      <c r="AY5" s="117"/>
      <c r="AZ5" s="117"/>
      <c r="BA5" s="117"/>
      <c r="BB5" s="117"/>
      <c r="BC5" s="117"/>
      <c r="BD5" s="117"/>
      <c r="BE5" s="118"/>
    </row>
    <row r="6" spans="1:57" ht="18" customHeight="1">
      <c r="A6" s="306" t="s">
        <v>15</v>
      </c>
      <c r="B6" s="307"/>
      <c r="C6" s="308"/>
      <c r="D6" s="77" t="s">
        <v>19</v>
      </c>
      <c r="E6" s="182" t="s">
        <v>20</v>
      </c>
      <c r="F6" s="182" t="s">
        <v>21</v>
      </c>
      <c r="G6" s="78" t="s">
        <v>22</v>
      </c>
      <c r="H6" s="76" t="s">
        <v>233</v>
      </c>
      <c r="I6" s="77" t="s">
        <v>23</v>
      </c>
      <c r="J6" s="182" t="s">
        <v>19</v>
      </c>
      <c r="K6" s="182" t="s">
        <v>20</v>
      </c>
      <c r="L6" s="182" t="s">
        <v>21</v>
      </c>
      <c r="M6" s="152" t="s">
        <v>22</v>
      </c>
      <c r="N6" s="77" t="s">
        <v>23</v>
      </c>
      <c r="O6" s="182" t="s">
        <v>19</v>
      </c>
      <c r="P6" s="182" t="s">
        <v>20</v>
      </c>
      <c r="Q6" s="182" t="s">
        <v>21</v>
      </c>
      <c r="R6" s="78" t="s">
        <v>22</v>
      </c>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13"/>
      <c r="AV6" s="182"/>
      <c r="AW6" s="182"/>
      <c r="AX6" s="182"/>
      <c r="AY6" s="182"/>
      <c r="AZ6" s="182"/>
      <c r="BA6" s="182"/>
      <c r="BB6" s="182"/>
      <c r="BC6" s="182"/>
      <c r="BD6" s="182"/>
      <c r="BE6" s="78"/>
    </row>
    <row r="7" spans="1:57" ht="18" customHeight="1">
      <c r="A7" s="306" t="s">
        <v>192</v>
      </c>
      <c r="B7" s="307"/>
      <c r="C7" s="308"/>
      <c r="D7" s="77"/>
      <c r="E7" s="182"/>
      <c r="F7" s="182"/>
      <c r="G7" s="78"/>
      <c r="H7" s="76"/>
      <c r="I7" s="77"/>
      <c r="J7" s="182"/>
      <c r="K7" s="182"/>
      <c r="L7" s="182"/>
      <c r="M7" s="152"/>
      <c r="N7" s="77"/>
      <c r="O7" s="182"/>
      <c r="P7" s="182"/>
      <c r="Q7" s="182"/>
      <c r="R7" s="78"/>
      <c r="S7" s="113"/>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78"/>
    </row>
    <row r="8" spans="1:57" ht="18" customHeight="1">
      <c r="A8" s="306" t="s">
        <v>24</v>
      </c>
      <c r="B8" s="307"/>
      <c r="C8" s="308"/>
      <c r="D8" s="77"/>
      <c r="E8" s="182"/>
      <c r="F8" s="182"/>
      <c r="G8" s="78"/>
      <c r="H8" s="76"/>
      <c r="I8" s="77"/>
      <c r="J8" s="182"/>
      <c r="K8" s="182"/>
      <c r="L8" s="182"/>
      <c r="M8" s="152"/>
      <c r="N8" s="77"/>
      <c r="O8" s="182"/>
      <c r="P8" s="182"/>
      <c r="Q8" s="182"/>
      <c r="R8" s="78"/>
      <c r="S8" s="113"/>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78"/>
    </row>
    <row r="9" spans="1:57" ht="62.4" customHeight="1">
      <c r="A9" s="306" t="s">
        <v>369</v>
      </c>
      <c r="B9" s="307"/>
      <c r="C9" s="308"/>
      <c r="D9" s="77"/>
      <c r="E9" s="182"/>
      <c r="F9" s="182"/>
      <c r="G9" s="78"/>
      <c r="H9" s="76"/>
      <c r="I9" s="77"/>
      <c r="J9" s="182"/>
      <c r="K9" s="182"/>
      <c r="L9" s="182"/>
      <c r="M9" s="152"/>
      <c r="N9" s="77"/>
      <c r="O9" s="182"/>
      <c r="P9" s="182"/>
      <c r="Q9" s="182"/>
      <c r="R9" s="78"/>
      <c r="S9" s="113"/>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78"/>
    </row>
    <row r="10" spans="1:57" ht="240.75" customHeight="1">
      <c r="A10" s="306" t="s">
        <v>59</v>
      </c>
      <c r="B10" s="307"/>
      <c r="C10" s="308"/>
      <c r="D10" s="50"/>
      <c r="E10" s="107"/>
      <c r="F10" s="107"/>
      <c r="G10" s="51"/>
      <c r="H10" s="125"/>
      <c r="I10" s="50"/>
      <c r="J10" s="107"/>
      <c r="K10" s="107"/>
      <c r="L10" s="107"/>
      <c r="M10" s="151"/>
      <c r="N10" s="50"/>
      <c r="O10" s="107"/>
      <c r="P10" s="107"/>
      <c r="Q10" s="107"/>
      <c r="R10" s="51"/>
      <c r="S10" s="120"/>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51"/>
    </row>
    <row r="11" spans="1:57" ht="18" customHeight="1">
      <c r="A11" s="306" t="s">
        <v>247</v>
      </c>
      <c r="B11" s="307"/>
      <c r="C11" s="308"/>
      <c r="D11" s="79"/>
      <c r="E11" s="80"/>
      <c r="F11" s="80"/>
      <c r="G11" s="81"/>
      <c r="H11" s="82"/>
      <c r="I11" s="79"/>
      <c r="J11" s="80"/>
      <c r="K11" s="80"/>
      <c r="L11" s="80"/>
      <c r="M11" s="153"/>
      <c r="N11" s="79"/>
      <c r="O11" s="80"/>
      <c r="P11" s="80"/>
      <c r="Q11" s="80"/>
      <c r="R11" s="81"/>
      <c r="S11" s="122"/>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1"/>
    </row>
    <row r="12" spans="1:57" ht="18" customHeight="1">
      <c r="A12" s="306" t="s">
        <v>366</v>
      </c>
      <c r="B12" s="307"/>
      <c r="C12" s="308"/>
      <c r="D12" s="79"/>
      <c r="E12" s="80"/>
      <c r="F12" s="80"/>
      <c r="G12" s="81"/>
      <c r="H12" s="82"/>
      <c r="I12" s="79"/>
      <c r="J12" s="80"/>
      <c r="K12" s="80"/>
      <c r="L12" s="80"/>
      <c r="M12" s="153"/>
      <c r="N12" s="79"/>
      <c r="O12" s="80"/>
      <c r="P12" s="80"/>
      <c r="Q12" s="80"/>
      <c r="R12" s="81"/>
      <c r="S12" s="122"/>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c r="BB12" s="80"/>
      <c r="BC12" s="80"/>
      <c r="BD12" s="80"/>
      <c r="BE12" s="81"/>
    </row>
    <row r="13" spans="1:57" ht="18" customHeight="1">
      <c r="A13" s="306" t="s">
        <v>367</v>
      </c>
      <c r="B13" s="307"/>
      <c r="C13" s="308"/>
      <c r="D13" s="79"/>
      <c r="E13" s="80"/>
      <c r="F13" s="80"/>
      <c r="G13" s="81"/>
      <c r="H13" s="82"/>
      <c r="I13" s="79"/>
      <c r="J13" s="80"/>
      <c r="K13" s="80"/>
      <c r="L13" s="80"/>
      <c r="M13" s="153"/>
      <c r="N13" s="79"/>
      <c r="O13" s="80"/>
      <c r="P13" s="80"/>
      <c r="Q13" s="80"/>
      <c r="R13" s="81"/>
      <c r="S13" s="122"/>
      <c r="T13" s="80"/>
      <c r="U13" s="80"/>
      <c r="V13" s="80"/>
      <c r="W13" s="80"/>
      <c r="X13" s="80"/>
      <c r="Y13" s="80"/>
      <c r="Z13" s="80"/>
      <c r="AA13" s="80"/>
      <c r="AB13" s="80"/>
      <c r="AC13" s="80"/>
      <c r="AD13" s="80"/>
      <c r="AE13" s="80"/>
      <c r="AF13" s="80"/>
      <c r="AG13" s="80"/>
      <c r="AH13" s="80"/>
      <c r="AI13" s="80"/>
      <c r="AJ13" s="80"/>
      <c r="AK13" s="80"/>
      <c r="AL13" s="80"/>
      <c r="AM13" s="80"/>
      <c r="AN13" s="80"/>
      <c r="AO13" s="80"/>
      <c r="AP13" s="80"/>
      <c r="AQ13" s="80"/>
      <c r="AR13" s="80"/>
      <c r="AS13" s="80"/>
      <c r="AT13" s="80"/>
      <c r="AU13" s="80"/>
      <c r="AV13" s="80"/>
      <c r="AW13" s="80"/>
      <c r="AX13" s="80"/>
      <c r="AY13" s="80"/>
      <c r="AZ13" s="80"/>
      <c r="BA13" s="80"/>
      <c r="BB13" s="80"/>
      <c r="BC13" s="80"/>
      <c r="BD13" s="80"/>
      <c r="BE13" s="81"/>
    </row>
    <row r="14" spans="1:57" ht="18" customHeight="1">
      <c r="A14" s="757" t="s">
        <v>1</v>
      </c>
      <c r="B14" s="458"/>
      <c r="C14" s="758" t="s">
        <v>61</v>
      </c>
      <c r="D14" s="79"/>
      <c r="E14" s="80"/>
      <c r="F14" s="80"/>
      <c r="G14" s="81"/>
      <c r="H14" s="82"/>
      <c r="I14" s="79"/>
      <c r="J14" s="80"/>
      <c r="K14" s="80"/>
      <c r="L14" s="80"/>
      <c r="M14" s="153"/>
      <c r="N14" s="79"/>
      <c r="O14" s="80"/>
      <c r="P14" s="80"/>
      <c r="Q14" s="80"/>
      <c r="R14" s="81"/>
      <c r="S14" s="122"/>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219"/>
      <c r="BB14" s="219"/>
      <c r="BC14" s="219"/>
      <c r="BD14" s="80"/>
      <c r="BE14" s="81"/>
    </row>
    <row r="15" spans="1:57" ht="18" customHeight="1">
      <c r="A15" s="757" t="s">
        <v>2</v>
      </c>
      <c r="B15" s="458"/>
      <c r="C15" s="758"/>
      <c r="D15" s="167"/>
      <c r="E15" s="168"/>
      <c r="F15" s="168"/>
      <c r="G15" s="169"/>
      <c r="H15" s="170"/>
      <c r="I15" s="167"/>
      <c r="J15" s="168"/>
      <c r="K15" s="168"/>
      <c r="L15" s="168"/>
      <c r="M15" s="171"/>
      <c r="N15" s="167"/>
      <c r="O15" s="168"/>
      <c r="P15" s="168"/>
      <c r="Q15" s="168"/>
      <c r="R15" s="169"/>
      <c r="S15" s="122"/>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0"/>
      <c r="AX15" s="80"/>
      <c r="AY15" s="80"/>
      <c r="AZ15" s="80"/>
      <c r="BA15" s="80"/>
      <c r="BB15" s="80"/>
      <c r="BC15" s="80"/>
      <c r="BD15" s="80"/>
      <c r="BE15" s="220"/>
    </row>
    <row r="16" spans="1:57" ht="18" customHeight="1">
      <c r="A16" s="306" t="s">
        <v>25</v>
      </c>
      <c r="B16" s="307"/>
      <c r="C16" s="308"/>
      <c r="D16" s="95"/>
      <c r="E16" s="96"/>
      <c r="F16" s="96"/>
      <c r="G16" s="97"/>
      <c r="H16" s="98"/>
      <c r="I16" s="95"/>
      <c r="J16" s="96"/>
      <c r="K16" s="96"/>
      <c r="L16" s="96"/>
      <c r="M16" s="154"/>
      <c r="N16" s="95"/>
      <c r="O16" s="96"/>
      <c r="P16" s="96"/>
      <c r="Q16" s="96"/>
      <c r="R16" s="97"/>
      <c r="S16" s="121"/>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219"/>
      <c r="BB16" s="219"/>
      <c r="BC16" s="219"/>
      <c r="BD16" s="96"/>
      <c r="BE16" s="97"/>
    </row>
    <row r="17" spans="1:58" ht="18" customHeight="1">
      <c r="A17" s="306" t="s">
        <v>142</v>
      </c>
      <c r="B17" s="307"/>
      <c r="C17" s="308"/>
      <c r="D17" s="172"/>
      <c r="E17" s="173"/>
      <c r="F17" s="173"/>
      <c r="G17" s="174"/>
      <c r="H17" s="175"/>
      <c r="I17" s="172"/>
      <c r="J17" s="173"/>
      <c r="K17" s="173"/>
      <c r="L17" s="173"/>
      <c r="M17" s="176"/>
      <c r="N17" s="172"/>
      <c r="O17" s="173"/>
      <c r="P17" s="173"/>
      <c r="Q17" s="173"/>
      <c r="R17" s="174"/>
      <c r="S17" s="177"/>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4"/>
    </row>
    <row r="18" spans="1:58" ht="18" customHeight="1">
      <c r="A18" s="306" t="s">
        <v>143</v>
      </c>
      <c r="B18" s="307"/>
      <c r="C18" s="308"/>
      <c r="D18" s="172"/>
      <c r="E18" s="173"/>
      <c r="F18" s="173"/>
      <c r="G18" s="174"/>
      <c r="H18" s="175"/>
      <c r="I18" s="172"/>
      <c r="J18" s="173"/>
      <c r="K18" s="173"/>
      <c r="L18" s="173"/>
      <c r="M18" s="176"/>
      <c r="N18" s="172"/>
      <c r="O18" s="173"/>
      <c r="P18" s="173"/>
      <c r="Q18" s="173"/>
      <c r="R18" s="174"/>
      <c r="S18" s="177"/>
      <c r="T18" s="173"/>
      <c r="U18" s="173"/>
      <c r="V18" s="173"/>
      <c r="W18" s="173"/>
      <c r="X18" s="173"/>
      <c r="Y18" s="173"/>
      <c r="Z18" s="173"/>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173"/>
      <c r="AW18" s="173"/>
      <c r="AX18" s="173"/>
      <c r="AY18" s="173"/>
      <c r="AZ18" s="173"/>
      <c r="BA18" s="173"/>
      <c r="BB18" s="173"/>
      <c r="BC18" s="173"/>
      <c r="BD18" s="173"/>
      <c r="BE18" s="174"/>
    </row>
    <row r="19" spans="1:58" ht="18" customHeight="1">
      <c r="A19" s="306" t="s">
        <v>141</v>
      </c>
      <c r="B19" s="307"/>
      <c r="C19" s="308"/>
      <c r="D19" s="172"/>
      <c r="E19" s="173"/>
      <c r="F19" s="173"/>
      <c r="G19" s="174"/>
      <c r="H19" s="175"/>
      <c r="I19" s="172"/>
      <c r="J19" s="173"/>
      <c r="K19" s="173"/>
      <c r="L19" s="173"/>
      <c r="M19" s="176"/>
      <c r="N19" s="172"/>
      <c r="O19" s="173"/>
      <c r="P19" s="173"/>
      <c r="Q19" s="173"/>
      <c r="R19" s="174"/>
      <c r="S19" s="177"/>
      <c r="T19" s="173"/>
      <c r="U19" s="173"/>
      <c r="V19" s="173"/>
      <c r="W19" s="173"/>
      <c r="X19" s="173"/>
      <c r="Y19" s="173"/>
      <c r="Z19" s="173"/>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173"/>
      <c r="AW19" s="173"/>
      <c r="AX19" s="173"/>
      <c r="AY19" s="173"/>
      <c r="AZ19" s="173"/>
      <c r="BA19" s="173"/>
      <c r="BB19" s="173"/>
      <c r="BC19" s="173"/>
      <c r="BD19" s="173"/>
      <c r="BE19" s="174"/>
    </row>
    <row r="20" spans="1:58" ht="18" customHeight="1">
      <c r="A20" s="306" t="s">
        <v>144</v>
      </c>
      <c r="B20" s="307"/>
      <c r="C20" s="308"/>
      <c r="D20" s="109"/>
      <c r="E20" s="110"/>
      <c r="F20" s="110"/>
      <c r="G20" s="111"/>
      <c r="H20" s="112"/>
      <c r="I20" s="109"/>
      <c r="J20" s="110"/>
      <c r="K20" s="110"/>
      <c r="L20" s="110"/>
      <c r="M20" s="155"/>
      <c r="N20" s="109"/>
      <c r="O20" s="110"/>
      <c r="P20" s="110"/>
      <c r="Q20" s="110"/>
      <c r="R20" s="111"/>
      <c r="S20" s="224" t="str">
        <f t="shared" ref="S20:BE20" si="1">IF(IFERROR(S130,"")="","",S130)</f>
        <v/>
      </c>
      <c r="T20" s="224" t="str">
        <f t="shared" si="1"/>
        <v/>
      </c>
      <c r="U20" s="224" t="str">
        <f t="shared" si="1"/>
        <v/>
      </c>
      <c r="V20" s="224" t="str">
        <f t="shared" si="1"/>
        <v/>
      </c>
      <c r="W20" s="224" t="str">
        <f t="shared" si="1"/>
        <v/>
      </c>
      <c r="X20" s="224" t="str">
        <f t="shared" si="1"/>
        <v/>
      </c>
      <c r="Y20" s="224" t="str">
        <f t="shared" si="1"/>
        <v/>
      </c>
      <c r="Z20" s="224" t="str">
        <f t="shared" si="1"/>
        <v/>
      </c>
      <c r="AA20" s="224" t="str">
        <f t="shared" si="1"/>
        <v/>
      </c>
      <c r="AB20" s="224" t="str">
        <f t="shared" si="1"/>
        <v/>
      </c>
      <c r="AC20" s="224" t="str">
        <f t="shared" si="1"/>
        <v/>
      </c>
      <c r="AD20" s="224" t="str">
        <f t="shared" si="1"/>
        <v/>
      </c>
      <c r="AE20" s="224" t="str">
        <f t="shared" si="1"/>
        <v/>
      </c>
      <c r="AF20" s="224" t="str">
        <f t="shared" si="1"/>
        <v/>
      </c>
      <c r="AG20" s="224" t="str">
        <f t="shared" si="1"/>
        <v/>
      </c>
      <c r="AH20" s="224" t="str">
        <f t="shared" si="1"/>
        <v/>
      </c>
      <c r="AI20" s="224" t="str">
        <f t="shared" si="1"/>
        <v/>
      </c>
      <c r="AJ20" s="224" t="str">
        <f t="shared" si="1"/>
        <v/>
      </c>
      <c r="AK20" s="224" t="str">
        <f t="shared" si="1"/>
        <v/>
      </c>
      <c r="AL20" s="224" t="str">
        <f t="shared" si="1"/>
        <v/>
      </c>
      <c r="AM20" s="224" t="str">
        <f t="shared" si="1"/>
        <v/>
      </c>
      <c r="AN20" s="224" t="str">
        <f t="shared" si="1"/>
        <v/>
      </c>
      <c r="AO20" s="224" t="str">
        <f t="shared" si="1"/>
        <v/>
      </c>
      <c r="AP20" s="224" t="str">
        <f t="shared" si="1"/>
        <v/>
      </c>
      <c r="AQ20" s="224" t="str">
        <f t="shared" si="1"/>
        <v/>
      </c>
      <c r="AR20" s="224" t="str">
        <f t="shared" si="1"/>
        <v/>
      </c>
      <c r="AS20" s="224" t="str">
        <f t="shared" si="1"/>
        <v/>
      </c>
      <c r="AT20" s="224" t="str">
        <f t="shared" si="1"/>
        <v/>
      </c>
      <c r="AU20" s="224" t="str">
        <f t="shared" si="1"/>
        <v/>
      </c>
      <c r="AV20" s="224" t="str">
        <f t="shared" si="1"/>
        <v/>
      </c>
      <c r="AW20" s="224" t="str">
        <f t="shared" si="1"/>
        <v/>
      </c>
      <c r="AX20" s="224" t="str">
        <f t="shared" si="1"/>
        <v/>
      </c>
      <c r="AY20" s="224" t="str">
        <f t="shared" si="1"/>
        <v/>
      </c>
      <c r="AZ20" s="224" t="str">
        <f t="shared" si="1"/>
        <v/>
      </c>
      <c r="BA20" s="224" t="str">
        <f t="shared" si="1"/>
        <v/>
      </c>
      <c r="BB20" s="224" t="str">
        <f t="shared" si="1"/>
        <v/>
      </c>
      <c r="BC20" s="224" t="str">
        <f t="shared" si="1"/>
        <v/>
      </c>
      <c r="BD20" s="224" t="str">
        <f t="shared" si="1"/>
        <v/>
      </c>
      <c r="BE20" s="224" t="str">
        <f t="shared" si="1"/>
        <v/>
      </c>
    </row>
    <row r="21" spans="1:58" ht="18" customHeight="1">
      <c r="A21" s="306" t="s">
        <v>196</v>
      </c>
      <c r="B21" s="307"/>
      <c r="C21" s="308"/>
      <c r="D21" s="109"/>
      <c r="E21" s="110"/>
      <c r="F21" s="110"/>
      <c r="G21" s="111"/>
      <c r="H21" s="112"/>
      <c r="I21" s="109"/>
      <c r="J21" s="110"/>
      <c r="K21" s="110"/>
      <c r="L21" s="110"/>
      <c r="M21" s="155"/>
      <c r="N21" s="109"/>
      <c r="O21" s="110"/>
      <c r="P21" s="110"/>
      <c r="Q21" s="110"/>
      <c r="R21" s="111"/>
      <c r="S21" s="224" t="str">
        <f t="shared" ref="S21:BE22" si="2">IF(IFERROR(S131,"")="","",S131)</f>
        <v/>
      </c>
      <c r="T21" s="225" t="str">
        <f>IF(IFERROR(T131,"")="","",T131)</f>
        <v/>
      </c>
      <c r="U21" s="225" t="str">
        <f t="shared" si="2"/>
        <v/>
      </c>
      <c r="V21" s="225" t="str">
        <f t="shared" si="2"/>
        <v/>
      </c>
      <c r="W21" s="225" t="str">
        <f t="shared" si="2"/>
        <v/>
      </c>
      <c r="X21" s="225" t="str">
        <f t="shared" si="2"/>
        <v/>
      </c>
      <c r="Y21" s="225" t="str">
        <f t="shared" si="2"/>
        <v/>
      </c>
      <c r="Z21" s="225" t="str">
        <f t="shared" si="2"/>
        <v/>
      </c>
      <c r="AA21" s="225" t="str">
        <f>IF(IFERROR(AA131,"")="","",AA131)</f>
        <v/>
      </c>
      <c r="AB21" s="225" t="str">
        <f>IF(IFERROR(AB131,"")="","",AB131)</f>
        <v/>
      </c>
      <c r="AC21" s="225" t="str">
        <f t="shared" si="2"/>
        <v/>
      </c>
      <c r="AD21" s="225" t="str">
        <f t="shared" si="2"/>
        <v/>
      </c>
      <c r="AE21" s="225" t="str">
        <f t="shared" si="2"/>
        <v/>
      </c>
      <c r="AF21" s="225" t="str">
        <f t="shared" si="2"/>
        <v/>
      </c>
      <c r="AG21" s="225" t="str">
        <f t="shared" si="2"/>
        <v/>
      </c>
      <c r="AH21" s="225" t="str">
        <f t="shared" si="2"/>
        <v/>
      </c>
      <c r="AI21" s="225" t="str">
        <f t="shared" si="2"/>
        <v/>
      </c>
      <c r="AJ21" s="225" t="str">
        <f t="shared" si="2"/>
        <v/>
      </c>
      <c r="AK21" s="225" t="str">
        <f t="shared" si="2"/>
        <v/>
      </c>
      <c r="AL21" s="225" t="str">
        <f t="shared" si="2"/>
        <v/>
      </c>
      <c r="AM21" s="225" t="str">
        <f t="shared" si="2"/>
        <v/>
      </c>
      <c r="AN21" s="225" t="str">
        <f t="shared" si="2"/>
        <v/>
      </c>
      <c r="AO21" s="225" t="str">
        <f t="shared" si="2"/>
        <v/>
      </c>
      <c r="AP21" s="225" t="str">
        <f t="shared" si="2"/>
        <v/>
      </c>
      <c r="AQ21" s="225" t="str">
        <f t="shared" si="2"/>
        <v/>
      </c>
      <c r="AR21" s="225" t="str">
        <f t="shared" si="2"/>
        <v/>
      </c>
      <c r="AS21" s="225" t="str">
        <f t="shared" si="2"/>
        <v/>
      </c>
      <c r="AT21" s="225" t="str">
        <f t="shared" si="2"/>
        <v/>
      </c>
      <c r="AU21" s="225" t="str">
        <f t="shared" si="2"/>
        <v/>
      </c>
      <c r="AV21" s="225" t="str">
        <f t="shared" si="2"/>
        <v/>
      </c>
      <c r="AW21" s="225" t="str">
        <f t="shared" si="2"/>
        <v/>
      </c>
      <c r="AX21" s="225" t="str">
        <f t="shared" si="2"/>
        <v/>
      </c>
      <c r="AY21" s="225" t="str">
        <f t="shared" si="2"/>
        <v/>
      </c>
      <c r="AZ21" s="225" t="str">
        <f t="shared" si="2"/>
        <v/>
      </c>
      <c r="BA21" s="225" t="str">
        <f t="shared" si="2"/>
        <v/>
      </c>
      <c r="BB21" s="225" t="str">
        <f t="shared" si="2"/>
        <v/>
      </c>
      <c r="BC21" s="225" t="str">
        <f t="shared" si="2"/>
        <v/>
      </c>
      <c r="BD21" s="225" t="str">
        <f t="shared" si="2"/>
        <v/>
      </c>
      <c r="BE21" s="226" t="str">
        <f t="shared" si="2"/>
        <v/>
      </c>
    </row>
    <row r="22" spans="1:58" ht="18" hidden="1" customHeight="1">
      <c r="A22" s="306" t="s">
        <v>198</v>
      </c>
      <c r="B22" s="307"/>
      <c r="C22" s="308"/>
      <c r="D22" s="109"/>
      <c r="E22" s="110"/>
      <c r="F22" s="110"/>
      <c r="G22" s="111"/>
      <c r="H22" s="112"/>
      <c r="I22" s="109"/>
      <c r="J22" s="110"/>
      <c r="K22" s="110"/>
      <c r="L22" s="110"/>
      <c r="M22" s="155"/>
      <c r="N22" s="109"/>
      <c r="O22" s="110"/>
      <c r="P22" s="110"/>
      <c r="Q22" s="110"/>
      <c r="R22" s="111"/>
      <c r="S22" s="224" t="str">
        <f t="shared" si="2"/>
        <v/>
      </c>
      <c r="T22" s="225" t="str">
        <f t="shared" si="2"/>
        <v/>
      </c>
      <c r="U22" s="225" t="str">
        <f t="shared" si="2"/>
        <v/>
      </c>
      <c r="V22" s="225" t="str">
        <f t="shared" si="2"/>
        <v/>
      </c>
      <c r="W22" s="225" t="str">
        <f t="shared" si="2"/>
        <v/>
      </c>
      <c r="X22" s="225" t="str">
        <f t="shared" si="2"/>
        <v/>
      </c>
      <c r="Y22" s="225" t="str">
        <f t="shared" si="2"/>
        <v/>
      </c>
      <c r="Z22" s="225" t="str">
        <f t="shared" si="2"/>
        <v/>
      </c>
      <c r="AA22" s="225" t="str">
        <f t="shared" si="2"/>
        <v/>
      </c>
      <c r="AB22" s="225" t="str">
        <f t="shared" si="2"/>
        <v/>
      </c>
      <c r="AC22" s="225" t="str">
        <f t="shared" si="2"/>
        <v/>
      </c>
      <c r="AD22" s="225" t="str">
        <f t="shared" si="2"/>
        <v/>
      </c>
      <c r="AE22" s="225" t="str">
        <f t="shared" si="2"/>
        <v/>
      </c>
      <c r="AF22" s="225" t="str">
        <f t="shared" si="2"/>
        <v/>
      </c>
      <c r="AG22" s="225" t="str">
        <f t="shared" si="2"/>
        <v/>
      </c>
      <c r="AH22" s="225" t="str">
        <f t="shared" si="2"/>
        <v/>
      </c>
      <c r="AI22" s="225" t="str">
        <f t="shared" si="2"/>
        <v/>
      </c>
      <c r="AJ22" s="225" t="str">
        <f t="shared" si="2"/>
        <v/>
      </c>
      <c r="AK22" s="225" t="str">
        <f t="shared" si="2"/>
        <v/>
      </c>
      <c r="AL22" s="225" t="str">
        <f t="shared" si="2"/>
        <v/>
      </c>
      <c r="AM22" s="225" t="str">
        <f t="shared" si="2"/>
        <v/>
      </c>
      <c r="AN22" s="225" t="str">
        <f t="shared" si="2"/>
        <v/>
      </c>
      <c r="AO22" s="225" t="str">
        <f t="shared" si="2"/>
        <v/>
      </c>
      <c r="AP22" s="225" t="str">
        <f t="shared" si="2"/>
        <v/>
      </c>
      <c r="AQ22" s="225" t="str">
        <f t="shared" si="2"/>
        <v/>
      </c>
      <c r="AR22" s="225" t="str">
        <f t="shared" si="2"/>
        <v/>
      </c>
      <c r="AS22" s="225" t="str">
        <f t="shared" si="2"/>
        <v/>
      </c>
      <c r="AT22" s="225" t="str">
        <f t="shared" si="2"/>
        <v/>
      </c>
      <c r="AU22" s="225" t="str">
        <f t="shared" si="2"/>
        <v/>
      </c>
      <c r="AV22" s="225" t="str">
        <f t="shared" si="2"/>
        <v/>
      </c>
      <c r="AW22" s="225" t="str">
        <f t="shared" si="2"/>
        <v/>
      </c>
      <c r="AX22" s="225" t="str">
        <f t="shared" si="2"/>
        <v/>
      </c>
      <c r="AY22" s="225" t="str">
        <f t="shared" si="2"/>
        <v/>
      </c>
      <c r="AZ22" s="225" t="str">
        <f t="shared" si="2"/>
        <v/>
      </c>
      <c r="BA22" s="225" t="str">
        <f t="shared" si="2"/>
        <v/>
      </c>
      <c r="BB22" s="225" t="str">
        <f t="shared" si="2"/>
        <v/>
      </c>
      <c r="BC22" s="225" t="str">
        <f t="shared" si="2"/>
        <v/>
      </c>
      <c r="BD22" s="225" t="str">
        <f t="shared" si="2"/>
        <v/>
      </c>
      <c r="BE22" s="226" t="str">
        <f t="shared" si="2"/>
        <v/>
      </c>
    </row>
    <row r="23" spans="1:58" ht="18" customHeight="1">
      <c r="A23" s="306" t="s">
        <v>197</v>
      </c>
      <c r="B23" s="307"/>
      <c r="C23" s="308"/>
      <c r="D23" s="190"/>
      <c r="E23" s="193"/>
      <c r="F23" s="193"/>
      <c r="G23" s="203"/>
      <c r="H23" s="189"/>
      <c r="I23" s="190"/>
      <c r="J23" s="193"/>
      <c r="K23" s="193"/>
      <c r="L23" s="193"/>
      <c r="M23" s="194"/>
      <c r="N23" s="190"/>
      <c r="O23" s="193"/>
      <c r="P23" s="193"/>
      <c r="Q23" s="193"/>
      <c r="R23" s="203"/>
      <c r="S23" s="225" t="str">
        <f t="shared" ref="S23:BE23" si="3">IF($I$33="しない",IF(IFERROR(S133,"")="","",S133),IF(IFERROR(S146,"")="","",S146))</f>
        <v/>
      </c>
      <c r="T23" s="225" t="str">
        <f t="shared" si="3"/>
        <v/>
      </c>
      <c r="U23" s="225" t="str">
        <f t="shared" si="3"/>
        <v/>
      </c>
      <c r="V23" s="225" t="str">
        <f t="shared" si="3"/>
        <v/>
      </c>
      <c r="W23" s="225" t="str">
        <f t="shared" si="3"/>
        <v/>
      </c>
      <c r="X23" s="225" t="str">
        <f t="shared" si="3"/>
        <v/>
      </c>
      <c r="Y23" s="225" t="str">
        <f t="shared" si="3"/>
        <v/>
      </c>
      <c r="Z23" s="225" t="str">
        <f t="shared" si="3"/>
        <v/>
      </c>
      <c r="AA23" s="225" t="str">
        <f t="shared" si="3"/>
        <v/>
      </c>
      <c r="AB23" s="225" t="str">
        <f t="shared" si="3"/>
        <v/>
      </c>
      <c r="AC23" s="225" t="str">
        <f t="shared" si="3"/>
        <v/>
      </c>
      <c r="AD23" s="225" t="str">
        <f t="shared" si="3"/>
        <v/>
      </c>
      <c r="AE23" s="225" t="str">
        <f t="shared" si="3"/>
        <v/>
      </c>
      <c r="AF23" s="225" t="str">
        <f t="shared" si="3"/>
        <v/>
      </c>
      <c r="AG23" s="225" t="str">
        <f t="shared" si="3"/>
        <v/>
      </c>
      <c r="AH23" s="225" t="str">
        <f t="shared" si="3"/>
        <v/>
      </c>
      <c r="AI23" s="225" t="str">
        <f t="shared" si="3"/>
        <v/>
      </c>
      <c r="AJ23" s="225" t="str">
        <f t="shared" si="3"/>
        <v/>
      </c>
      <c r="AK23" s="225" t="str">
        <f t="shared" si="3"/>
        <v/>
      </c>
      <c r="AL23" s="225" t="str">
        <f t="shared" si="3"/>
        <v/>
      </c>
      <c r="AM23" s="225" t="str">
        <f t="shared" si="3"/>
        <v/>
      </c>
      <c r="AN23" s="225" t="str">
        <f t="shared" si="3"/>
        <v/>
      </c>
      <c r="AO23" s="225" t="str">
        <f t="shared" si="3"/>
        <v/>
      </c>
      <c r="AP23" s="225" t="str">
        <f t="shared" si="3"/>
        <v/>
      </c>
      <c r="AQ23" s="225" t="str">
        <f t="shared" si="3"/>
        <v/>
      </c>
      <c r="AR23" s="225" t="str">
        <f t="shared" si="3"/>
        <v/>
      </c>
      <c r="AS23" s="225" t="str">
        <f t="shared" si="3"/>
        <v/>
      </c>
      <c r="AT23" s="225" t="str">
        <f t="shared" si="3"/>
        <v/>
      </c>
      <c r="AU23" s="225" t="str">
        <f t="shared" si="3"/>
        <v/>
      </c>
      <c r="AV23" s="225" t="str">
        <f t="shared" si="3"/>
        <v/>
      </c>
      <c r="AW23" s="225" t="str">
        <f t="shared" si="3"/>
        <v/>
      </c>
      <c r="AX23" s="225" t="str">
        <f t="shared" si="3"/>
        <v/>
      </c>
      <c r="AY23" s="225" t="str">
        <f t="shared" si="3"/>
        <v/>
      </c>
      <c r="AZ23" s="225" t="str">
        <f t="shared" si="3"/>
        <v/>
      </c>
      <c r="BA23" s="225" t="str">
        <f t="shared" si="3"/>
        <v/>
      </c>
      <c r="BB23" s="225" t="str">
        <f t="shared" si="3"/>
        <v/>
      </c>
      <c r="BC23" s="225" t="str">
        <f t="shared" si="3"/>
        <v/>
      </c>
      <c r="BD23" s="225" t="str">
        <f t="shared" si="3"/>
        <v/>
      </c>
      <c r="BE23" s="226" t="str">
        <f t="shared" si="3"/>
        <v/>
      </c>
    </row>
    <row r="24" spans="1:58" ht="18" customHeight="1">
      <c r="A24" s="302" t="s">
        <v>338</v>
      </c>
      <c r="B24" s="301"/>
      <c r="C24" s="301"/>
      <c r="D24" s="190"/>
      <c r="E24" s="193"/>
      <c r="F24" s="193"/>
      <c r="G24" s="203"/>
      <c r="H24" s="189"/>
      <c r="I24" s="190"/>
      <c r="J24" s="193"/>
      <c r="K24" s="193"/>
      <c r="L24" s="193"/>
      <c r="M24" s="194"/>
      <c r="N24" s="190"/>
      <c r="O24" s="193"/>
      <c r="P24" s="193"/>
      <c r="Q24" s="193"/>
      <c r="R24" s="203"/>
      <c r="S24" s="224" t="str">
        <f ca="1">IFERROR(E223,"")</f>
        <v/>
      </c>
      <c r="T24" s="224" t="str">
        <f t="shared" ref="T24:AD27" ca="1" si="4">IFERROR(F223,"")</f>
        <v/>
      </c>
      <c r="U24" s="224" t="str">
        <f t="shared" ca="1" si="4"/>
        <v/>
      </c>
      <c r="V24" s="224" t="str">
        <f t="shared" ca="1" si="4"/>
        <v/>
      </c>
      <c r="W24" s="224" t="str">
        <f t="shared" ca="1" si="4"/>
        <v/>
      </c>
      <c r="X24" s="224" t="str">
        <f t="shared" ca="1" si="4"/>
        <v/>
      </c>
      <c r="Y24" s="224" t="str">
        <f t="shared" ca="1" si="4"/>
        <v/>
      </c>
      <c r="Z24" s="224" t="str">
        <f t="shared" ca="1" si="4"/>
        <v/>
      </c>
      <c r="AA24" s="224" t="str">
        <f t="shared" ca="1" si="4"/>
        <v/>
      </c>
      <c r="AB24" s="224" t="str">
        <f t="shared" ca="1" si="4"/>
        <v/>
      </c>
      <c r="AC24" s="224" t="str">
        <f t="shared" ca="1" si="4"/>
        <v/>
      </c>
      <c r="AD24" s="224" t="str">
        <f t="shared" ca="1" si="4"/>
        <v/>
      </c>
      <c r="AE24" s="224" t="str">
        <f t="shared" ref="AE24:AE27" ca="1" si="5">IFERROR(Q223,"")</f>
        <v/>
      </c>
      <c r="AF24" s="224" t="str">
        <f t="shared" ref="AF24:AF27" ca="1" si="6">IFERROR(R223,"")</f>
        <v/>
      </c>
      <c r="AG24" s="224" t="str">
        <f t="shared" ref="AG24:AG27" ca="1" si="7">IFERROR(S223,"")</f>
        <v/>
      </c>
      <c r="AH24" s="224" t="str">
        <f t="shared" ref="AH24:AH27" ca="1" si="8">IFERROR(T223,"")</f>
        <v/>
      </c>
      <c r="AI24" s="224" t="str">
        <f t="shared" ref="AI24:AI27" ca="1" si="9">IFERROR(U223,"")</f>
        <v/>
      </c>
      <c r="AJ24" s="224" t="str">
        <f t="shared" ref="AJ24:AJ27" ca="1" si="10">IFERROR(V223,"")</f>
        <v/>
      </c>
      <c r="AK24" s="224" t="str">
        <f t="shared" ref="AK24:AK27" ca="1" si="11">IFERROR(W223,"")</f>
        <v/>
      </c>
      <c r="AL24" s="224" t="str">
        <f t="shared" ref="AL24:AL27" ca="1" si="12">IFERROR(X223,"")</f>
        <v/>
      </c>
      <c r="AM24" s="224" t="str">
        <f t="shared" ref="AM24:AM27" ca="1" si="13">IFERROR(Y223,"")</f>
        <v/>
      </c>
      <c r="AN24" s="224" t="str">
        <f t="shared" ref="AN24:AN27" ca="1" si="14">IFERROR(Z223,"")</f>
        <v/>
      </c>
      <c r="AO24" s="224" t="str">
        <f t="shared" ref="AO24:AO27" ca="1" si="15">IFERROR(AA223,"")</f>
        <v/>
      </c>
      <c r="AP24" s="224" t="str">
        <f t="shared" ref="AP24:AQ27" ca="1" si="16">IFERROR(AB223,"")</f>
        <v/>
      </c>
      <c r="AQ24" s="224" t="str">
        <f t="shared" ca="1" si="16"/>
        <v/>
      </c>
      <c r="AR24" s="224" t="str">
        <f t="shared" ref="AR24:AR27" ca="1" si="17">IFERROR(AD223,"")</f>
        <v/>
      </c>
      <c r="AS24" s="224" t="str">
        <f t="shared" ref="AS24:AS27" ca="1" si="18">IFERROR(AE223,"")</f>
        <v/>
      </c>
      <c r="AT24" s="224" t="str">
        <f t="shared" ref="AT24:AT27" ca="1" si="19">IFERROR(AF223,"")</f>
        <v/>
      </c>
      <c r="AU24" s="224" t="str">
        <f t="shared" ref="AU24:AU27" ca="1" si="20">IFERROR(AG223,"")</f>
        <v/>
      </c>
      <c r="AV24" s="224" t="str">
        <f t="shared" ref="AV24:AV27" ca="1" si="21">IFERROR(AH223,"")</f>
        <v/>
      </c>
      <c r="AW24" s="224" t="str">
        <f t="shared" ref="AW24:AW27" ca="1" si="22">IFERROR(AI223,"")</f>
        <v/>
      </c>
      <c r="AX24" s="224" t="str">
        <f t="shared" ref="AX24:AX27" ca="1" si="23">IFERROR(AJ223,"")</f>
        <v/>
      </c>
      <c r="AY24" s="224" t="str">
        <f t="shared" ref="AY24:AY27" ca="1" si="24">IFERROR(AK223,"")</f>
        <v/>
      </c>
      <c r="AZ24" s="224" t="str">
        <f t="shared" ref="AZ24:AZ27" ca="1" si="25">IFERROR(AL223,"")</f>
        <v/>
      </c>
      <c r="BA24" s="224" t="str">
        <f t="shared" ref="BA24:BA27" ca="1" si="26">IFERROR(AM223,"")</f>
        <v/>
      </c>
      <c r="BB24" s="224" t="str">
        <f t="shared" ref="BB24:BC27" ca="1" si="27">IFERROR(AN223,"")</f>
        <v/>
      </c>
      <c r="BC24" s="224" t="str">
        <f t="shared" ca="1" si="27"/>
        <v/>
      </c>
      <c r="BD24" s="224" t="str">
        <f t="shared" ref="BD24:BD27" ca="1" si="28">IFERROR(AP223,"")</f>
        <v/>
      </c>
      <c r="BE24" s="224" t="str">
        <f t="shared" ref="BE24:BE27" ca="1" si="29">IFERROR(AQ223,"")</f>
        <v/>
      </c>
    </row>
    <row r="25" spans="1:58" ht="18" customHeight="1">
      <c r="A25" s="302" t="s">
        <v>337</v>
      </c>
      <c r="B25" s="301"/>
      <c r="C25" s="301"/>
      <c r="D25" s="190"/>
      <c r="E25" s="193"/>
      <c r="F25" s="193"/>
      <c r="G25" s="203"/>
      <c r="H25" s="189"/>
      <c r="I25" s="190"/>
      <c r="J25" s="193"/>
      <c r="K25" s="193"/>
      <c r="L25" s="193"/>
      <c r="M25" s="194"/>
      <c r="N25" s="190"/>
      <c r="O25" s="193"/>
      <c r="P25" s="193"/>
      <c r="Q25" s="193"/>
      <c r="R25" s="203"/>
      <c r="S25" s="224" t="str">
        <f t="shared" ref="S25:S27" si="30">IFERROR(E224,"")</f>
        <v/>
      </c>
      <c r="T25" s="224" t="str">
        <f t="shared" si="4"/>
        <v/>
      </c>
      <c r="U25" s="224" t="str">
        <f t="shared" si="4"/>
        <v/>
      </c>
      <c r="V25" s="224" t="str">
        <f t="shared" si="4"/>
        <v/>
      </c>
      <c r="W25" s="224" t="str">
        <f t="shared" si="4"/>
        <v/>
      </c>
      <c r="X25" s="224" t="str">
        <f t="shared" si="4"/>
        <v/>
      </c>
      <c r="Y25" s="224" t="str">
        <f t="shared" si="4"/>
        <v/>
      </c>
      <c r="Z25" s="224" t="str">
        <f t="shared" si="4"/>
        <v/>
      </c>
      <c r="AA25" s="224" t="str">
        <f t="shared" si="4"/>
        <v/>
      </c>
      <c r="AB25" s="224" t="str">
        <f t="shared" si="4"/>
        <v/>
      </c>
      <c r="AC25" s="224" t="str">
        <f t="shared" si="4"/>
        <v/>
      </c>
      <c r="AD25" s="224" t="str">
        <f t="shared" si="4"/>
        <v/>
      </c>
      <c r="AE25" s="224" t="str">
        <f t="shared" si="5"/>
        <v/>
      </c>
      <c r="AF25" s="224" t="str">
        <f t="shared" si="6"/>
        <v/>
      </c>
      <c r="AG25" s="224" t="str">
        <f t="shared" si="7"/>
        <v/>
      </c>
      <c r="AH25" s="224" t="str">
        <f t="shared" si="8"/>
        <v/>
      </c>
      <c r="AI25" s="224" t="str">
        <f t="shared" si="9"/>
        <v/>
      </c>
      <c r="AJ25" s="224" t="str">
        <f t="shared" si="10"/>
        <v/>
      </c>
      <c r="AK25" s="224" t="str">
        <f t="shared" si="11"/>
        <v/>
      </c>
      <c r="AL25" s="224" t="str">
        <f t="shared" si="12"/>
        <v/>
      </c>
      <c r="AM25" s="224" t="str">
        <f t="shared" si="13"/>
        <v/>
      </c>
      <c r="AN25" s="224" t="str">
        <f t="shared" si="14"/>
        <v/>
      </c>
      <c r="AO25" s="224" t="str">
        <f t="shared" si="15"/>
        <v/>
      </c>
      <c r="AP25" s="224" t="str">
        <f t="shared" si="16"/>
        <v/>
      </c>
      <c r="AQ25" s="224" t="str">
        <f t="shared" si="16"/>
        <v/>
      </c>
      <c r="AR25" s="224" t="str">
        <f t="shared" si="17"/>
        <v/>
      </c>
      <c r="AS25" s="224" t="str">
        <f t="shared" si="18"/>
        <v/>
      </c>
      <c r="AT25" s="224" t="str">
        <f t="shared" si="19"/>
        <v/>
      </c>
      <c r="AU25" s="224" t="str">
        <f t="shared" si="20"/>
        <v/>
      </c>
      <c r="AV25" s="224" t="str">
        <f t="shared" si="21"/>
        <v/>
      </c>
      <c r="AW25" s="224" t="str">
        <f t="shared" si="22"/>
        <v/>
      </c>
      <c r="AX25" s="224" t="str">
        <f t="shared" si="23"/>
        <v/>
      </c>
      <c r="AY25" s="224" t="str">
        <f t="shared" si="24"/>
        <v/>
      </c>
      <c r="AZ25" s="224" t="str">
        <f t="shared" si="25"/>
        <v/>
      </c>
      <c r="BA25" s="224" t="str">
        <f t="shared" si="26"/>
        <v/>
      </c>
      <c r="BB25" s="224" t="str">
        <f t="shared" si="27"/>
        <v/>
      </c>
      <c r="BC25" s="224" t="str">
        <f t="shared" si="27"/>
        <v/>
      </c>
      <c r="BD25" s="224" t="str">
        <f t="shared" si="28"/>
        <v/>
      </c>
      <c r="BE25" s="224" t="str">
        <f t="shared" si="29"/>
        <v/>
      </c>
    </row>
    <row r="26" spans="1:58" ht="18" customHeight="1">
      <c r="A26" s="302" t="s">
        <v>364</v>
      </c>
      <c r="B26" s="301"/>
      <c r="C26" s="301"/>
      <c r="D26" s="190"/>
      <c r="E26" s="193"/>
      <c r="F26" s="193"/>
      <c r="G26" s="203"/>
      <c r="H26" s="189"/>
      <c r="I26" s="190"/>
      <c r="J26" s="193"/>
      <c r="K26" s="193"/>
      <c r="L26" s="193"/>
      <c r="M26" s="194"/>
      <c r="N26" s="190"/>
      <c r="O26" s="193"/>
      <c r="P26" s="193"/>
      <c r="Q26" s="193"/>
      <c r="R26" s="203"/>
      <c r="S26" s="224" t="str">
        <f t="shared" si="30"/>
        <v/>
      </c>
      <c r="T26" s="224" t="str">
        <f t="shared" si="4"/>
        <v/>
      </c>
      <c r="U26" s="224" t="str">
        <f t="shared" si="4"/>
        <v/>
      </c>
      <c r="V26" s="224" t="str">
        <f t="shared" si="4"/>
        <v/>
      </c>
      <c r="W26" s="224" t="str">
        <f t="shared" si="4"/>
        <v/>
      </c>
      <c r="X26" s="224" t="str">
        <f t="shared" si="4"/>
        <v/>
      </c>
      <c r="Y26" s="224" t="str">
        <f t="shared" si="4"/>
        <v/>
      </c>
      <c r="Z26" s="224" t="str">
        <f t="shared" si="4"/>
        <v/>
      </c>
      <c r="AA26" s="224" t="str">
        <f t="shared" si="4"/>
        <v/>
      </c>
      <c r="AB26" s="224" t="str">
        <f t="shared" si="4"/>
        <v/>
      </c>
      <c r="AC26" s="224" t="str">
        <f t="shared" si="4"/>
        <v/>
      </c>
      <c r="AD26" s="224" t="str">
        <f t="shared" si="4"/>
        <v/>
      </c>
      <c r="AE26" s="224" t="str">
        <f t="shared" si="5"/>
        <v/>
      </c>
      <c r="AF26" s="224" t="str">
        <f t="shared" si="6"/>
        <v/>
      </c>
      <c r="AG26" s="224" t="str">
        <f t="shared" si="7"/>
        <v/>
      </c>
      <c r="AH26" s="224" t="str">
        <f t="shared" si="8"/>
        <v/>
      </c>
      <c r="AI26" s="224" t="str">
        <f t="shared" si="9"/>
        <v/>
      </c>
      <c r="AJ26" s="224" t="str">
        <f t="shared" si="10"/>
        <v/>
      </c>
      <c r="AK26" s="224" t="str">
        <f t="shared" si="11"/>
        <v/>
      </c>
      <c r="AL26" s="224" t="str">
        <f t="shared" si="12"/>
        <v/>
      </c>
      <c r="AM26" s="224" t="str">
        <f t="shared" si="13"/>
        <v/>
      </c>
      <c r="AN26" s="224" t="str">
        <f t="shared" si="14"/>
        <v/>
      </c>
      <c r="AO26" s="224" t="str">
        <f t="shared" si="15"/>
        <v/>
      </c>
      <c r="AP26" s="224" t="str">
        <f t="shared" si="16"/>
        <v/>
      </c>
      <c r="AQ26" s="224" t="str">
        <f t="shared" si="16"/>
        <v/>
      </c>
      <c r="AR26" s="224" t="str">
        <f t="shared" si="17"/>
        <v/>
      </c>
      <c r="AS26" s="224" t="str">
        <f t="shared" si="18"/>
        <v/>
      </c>
      <c r="AT26" s="224" t="str">
        <f t="shared" si="19"/>
        <v/>
      </c>
      <c r="AU26" s="224" t="str">
        <f t="shared" si="20"/>
        <v/>
      </c>
      <c r="AV26" s="224" t="str">
        <f t="shared" si="21"/>
        <v/>
      </c>
      <c r="AW26" s="224" t="str">
        <f t="shared" si="22"/>
        <v/>
      </c>
      <c r="AX26" s="224" t="str">
        <f t="shared" si="23"/>
        <v/>
      </c>
      <c r="AY26" s="224" t="str">
        <f t="shared" si="24"/>
        <v/>
      </c>
      <c r="AZ26" s="224" t="str">
        <f t="shared" si="25"/>
        <v/>
      </c>
      <c r="BA26" s="224" t="str">
        <f t="shared" si="26"/>
        <v/>
      </c>
      <c r="BB26" s="224" t="str">
        <f t="shared" si="27"/>
        <v/>
      </c>
      <c r="BC26" s="224" t="str">
        <f t="shared" si="27"/>
        <v/>
      </c>
      <c r="BD26" s="224" t="str">
        <f t="shared" si="28"/>
        <v/>
      </c>
      <c r="BE26" s="224" t="str">
        <f t="shared" si="29"/>
        <v/>
      </c>
    </row>
    <row r="27" spans="1:58" ht="18" customHeight="1" thickBot="1">
      <c r="A27" s="304" t="s">
        <v>370</v>
      </c>
      <c r="B27" s="305"/>
      <c r="C27" s="305"/>
      <c r="D27" s="252"/>
      <c r="E27" s="250"/>
      <c r="F27" s="250"/>
      <c r="G27" s="201"/>
      <c r="H27" s="294"/>
      <c r="I27" s="252"/>
      <c r="J27" s="250"/>
      <c r="K27" s="250"/>
      <c r="L27" s="250"/>
      <c r="M27" s="251"/>
      <c r="N27" s="252"/>
      <c r="O27" s="250"/>
      <c r="P27" s="250"/>
      <c r="Q27" s="250"/>
      <c r="R27" s="201"/>
      <c r="S27" s="224" t="str">
        <f t="shared" si="30"/>
        <v/>
      </c>
      <c r="T27" s="224" t="str">
        <f t="shared" si="4"/>
        <v/>
      </c>
      <c r="U27" s="224" t="str">
        <f t="shared" si="4"/>
        <v/>
      </c>
      <c r="V27" s="224" t="str">
        <f t="shared" si="4"/>
        <v/>
      </c>
      <c r="W27" s="224" t="str">
        <f t="shared" si="4"/>
        <v/>
      </c>
      <c r="X27" s="224" t="str">
        <f t="shared" si="4"/>
        <v/>
      </c>
      <c r="Y27" s="224" t="str">
        <f t="shared" si="4"/>
        <v/>
      </c>
      <c r="Z27" s="224" t="str">
        <f t="shared" si="4"/>
        <v/>
      </c>
      <c r="AA27" s="224" t="str">
        <f t="shared" si="4"/>
        <v/>
      </c>
      <c r="AB27" s="224" t="str">
        <f t="shared" si="4"/>
        <v/>
      </c>
      <c r="AC27" s="224" t="str">
        <f t="shared" si="4"/>
        <v/>
      </c>
      <c r="AD27" s="224" t="str">
        <f t="shared" si="4"/>
        <v/>
      </c>
      <c r="AE27" s="224" t="str">
        <f t="shared" si="5"/>
        <v/>
      </c>
      <c r="AF27" s="224" t="str">
        <f t="shared" si="6"/>
        <v/>
      </c>
      <c r="AG27" s="224" t="str">
        <f t="shared" si="7"/>
        <v/>
      </c>
      <c r="AH27" s="224" t="str">
        <f t="shared" si="8"/>
        <v/>
      </c>
      <c r="AI27" s="224" t="str">
        <f t="shared" si="9"/>
        <v/>
      </c>
      <c r="AJ27" s="224" t="str">
        <f t="shared" si="10"/>
        <v/>
      </c>
      <c r="AK27" s="224" t="str">
        <f t="shared" si="11"/>
        <v/>
      </c>
      <c r="AL27" s="224" t="str">
        <f t="shared" si="12"/>
        <v/>
      </c>
      <c r="AM27" s="224" t="str">
        <f t="shared" si="13"/>
        <v/>
      </c>
      <c r="AN27" s="224" t="str">
        <f t="shared" si="14"/>
        <v/>
      </c>
      <c r="AO27" s="224" t="str">
        <f t="shared" si="15"/>
        <v/>
      </c>
      <c r="AP27" s="224" t="str">
        <f t="shared" si="16"/>
        <v/>
      </c>
      <c r="AQ27" s="224" t="str">
        <f t="shared" si="16"/>
        <v/>
      </c>
      <c r="AR27" s="224" t="str">
        <f t="shared" si="17"/>
        <v/>
      </c>
      <c r="AS27" s="224" t="str">
        <f t="shared" si="18"/>
        <v/>
      </c>
      <c r="AT27" s="224" t="str">
        <f t="shared" si="19"/>
        <v/>
      </c>
      <c r="AU27" s="224" t="str">
        <f t="shared" si="20"/>
        <v/>
      </c>
      <c r="AV27" s="224" t="str">
        <f t="shared" si="21"/>
        <v/>
      </c>
      <c r="AW27" s="224" t="str">
        <f t="shared" si="22"/>
        <v/>
      </c>
      <c r="AX27" s="224" t="str">
        <f t="shared" si="23"/>
        <v/>
      </c>
      <c r="AY27" s="224" t="str">
        <f t="shared" si="24"/>
        <v/>
      </c>
      <c r="AZ27" s="224" t="str">
        <f t="shared" si="25"/>
        <v/>
      </c>
      <c r="BA27" s="224" t="str">
        <f t="shared" si="26"/>
        <v/>
      </c>
      <c r="BB27" s="224" t="str">
        <f t="shared" si="27"/>
        <v/>
      </c>
      <c r="BC27" s="224" t="str">
        <f t="shared" si="27"/>
        <v/>
      </c>
      <c r="BD27" s="224" t="str">
        <f t="shared" si="28"/>
        <v/>
      </c>
      <c r="BE27" s="224" t="str">
        <f t="shared" si="29"/>
        <v/>
      </c>
    </row>
    <row r="28" spans="1:58" ht="18" hidden="1" customHeight="1">
      <c r="A28" s="702" t="s">
        <v>195</v>
      </c>
      <c r="B28" s="703"/>
      <c r="C28" s="704"/>
      <c r="D28" s="190"/>
      <c r="E28" s="193"/>
      <c r="F28" s="193"/>
      <c r="G28" s="203"/>
      <c r="H28" s="189"/>
      <c r="I28" s="190"/>
      <c r="J28" s="193"/>
      <c r="K28" s="193"/>
      <c r="L28" s="193"/>
      <c r="M28" s="194"/>
      <c r="N28" s="190"/>
      <c r="O28" s="193"/>
      <c r="P28" s="193"/>
      <c r="Q28" s="193"/>
      <c r="R28" s="203"/>
      <c r="S28" s="224" t="str">
        <f t="shared" ref="S28:BE28" ca="1" si="31">IF($I$32="しない",IF(IFERROR(S147,"")="","",S147),IF(IFERROR(S143,"")="","",S143))</f>
        <v/>
      </c>
      <c r="T28" s="225" t="str">
        <f t="shared" ca="1" si="31"/>
        <v/>
      </c>
      <c r="U28" s="225" t="str">
        <f t="shared" ca="1" si="31"/>
        <v/>
      </c>
      <c r="V28" s="225" t="str">
        <f t="shared" ca="1" si="31"/>
        <v/>
      </c>
      <c r="W28" s="225" t="str">
        <f t="shared" ca="1" si="31"/>
        <v/>
      </c>
      <c r="X28" s="225" t="str">
        <f t="shared" ca="1" si="31"/>
        <v/>
      </c>
      <c r="Y28" s="225" t="str">
        <f t="shared" ca="1" si="31"/>
        <v/>
      </c>
      <c r="Z28" s="225" t="str">
        <f t="shared" ca="1" si="31"/>
        <v/>
      </c>
      <c r="AA28" s="225" t="str">
        <f t="shared" ca="1" si="31"/>
        <v/>
      </c>
      <c r="AB28" s="225" t="str">
        <f t="shared" ca="1" si="31"/>
        <v/>
      </c>
      <c r="AC28" s="225" t="str">
        <f t="shared" ca="1" si="31"/>
        <v/>
      </c>
      <c r="AD28" s="225" t="str">
        <f t="shared" ca="1" si="31"/>
        <v/>
      </c>
      <c r="AE28" s="225" t="str">
        <f t="shared" ca="1" si="31"/>
        <v/>
      </c>
      <c r="AF28" s="225" t="str">
        <f t="shared" ca="1" si="31"/>
        <v/>
      </c>
      <c r="AG28" s="225" t="str">
        <f t="shared" ca="1" si="31"/>
        <v/>
      </c>
      <c r="AH28" s="225" t="str">
        <f t="shared" ca="1" si="31"/>
        <v/>
      </c>
      <c r="AI28" s="225" t="str">
        <f t="shared" ca="1" si="31"/>
        <v/>
      </c>
      <c r="AJ28" s="225" t="str">
        <f t="shared" ca="1" si="31"/>
        <v/>
      </c>
      <c r="AK28" s="225" t="str">
        <f t="shared" ca="1" si="31"/>
        <v/>
      </c>
      <c r="AL28" s="225" t="str">
        <f t="shared" ca="1" si="31"/>
        <v/>
      </c>
      <c r="AM28" s="225" t="str">
        <f t="shared" ca="1" si="31"/>
        <v/>
      </c>
      <c r="AN28" s="225" t="str">
        <f t="shared" ca="1" si="31"/>
        <v/>
      </c>
      <c r="AO28" s="225" t="str">
        <f t="shared" ca="1" si="31"/>
        <v/>
      </c>
      <c r="AP28" s="225" t="str">
        <f t="shared" ca="1" si="31"/>
        <v/>
      </c>
      <c r="AQ28" s="225" t="str">
        <f t="shared" ca="1" si="31"/>
        <v/>
      </c>
      <c r="AR28" s="225" t="str">
        <f t="shared" ca="1" si="31"/>
        <v/>
      </c>
      <c r="AS28" s="225" t="str">
        <f t="shared" ca="1" si="31"/>
        <v/>
      </c>
      <c r="AT28" s="225" t="str">
        <f t="shared" ca="1" si="31"/>
        <v/>
      </c>
      <c r="AU28" s="225" t="str">
        <f t="shared" ca="1" si="31"/>
        <v/>
      </c>
      <c r="AV28" s="225" t="str">
        <f t="shared" ca="1" si="31"/>
        <v/>
      </c>
      <c r="AW28" s="225" t="str">
        <f t="shared" ca="1" si="31"/>
        <v/>
      </c>
      <c r="AX28" s="225" t="str">
        <f t="shared" ca="1" si="31"/>
        <v/>
      </c>
      <c r="AY28" s="225" t="str">
        <f t="shared" ca="1" si="31"/>
        <v/>
      </c>
      <c r="AZ28" s="225" t="str">
        <f t="shared" ca="1" si="31"/>
        <v/>
      </c>
      <c r="BA28" s="225" t="str">
        <f t="shared" ca="1" si="31"/>
        <v/>
      </c>
      <c r="BB28" s="225" t="str">
        <f t="shared" ca="1" si="31"/>
        <v/>
      </c>
      <c r="BC28" s="225" t="str">
        <f t="shared" ca="1" si="31"/>
        <v/>
      </c>
      <c r="BD28" s="225" t="str">
        <f t="shared" ca="1" si="31"/>
        <v/>
      </c>
      <c r="BE28" s="226" t="str">
        <f t="shared" ca="1" si="31"/>
        <v/>
      </c>
    </row>
    <row r="29" spans="1:58" ht="18" hidden="1" customHeight="1">
      <c r="A29" s="314" t="s">
        <v>199</v>
      </c>
      <c r="B29" s="315"/>
      <c r="C29" s="472"/>
      <c r="D29" s="190"/>
      <c r="E29" s="193"/>
      <c r="F29" s="193"/>
      <c r="G29" s="203"/>
      <c r="H29" s="189"/>
      <c r="I29" s="190"/>
      <c r="J29" s="193"/>
      <c r="K29" s="193"/>
      <c r="L29" s="193"/>
      <c r="M29" s="194"/>
      <c r="N29" s="190"/>
      <c r="O29" s="193"/>
      <c r="P29" s="193"/>
      <c r="Q29" s="193"/>
      <c r="R29" s="203"/>
      <c r="S29" s="224" t="str">
        <f t="shared" ref="S29:BE29" ca="1" si="32">IF($I$32="しない",IF(IFERROR(S148,"")="","",S148),IF(IFERROR(S144,"")="","",S144))</f>
        <v/>
      </c>
      <c r="T29" s="225" t="str">
        <f t="shared" ca="1" si="32"/>
        <v/>
      </c>
      <c r="U29" s="225" t="str">
        <f t="shared" ca="1" si="32"/>
        <v/>
      </c>
      <c r="V29" s="225" t="str">
        <f t="shared" ca="1" si="32"/>
        <v/>
      </c>
      <c r="W29" s="225" t="str">
        <f t="shared" ca="1" si="32"/>
        <v/>
      </c>
      <c r="X29" s="225" t="str">
        <f t="shared" ca="1" si="32"/>
        <v/>
      </c>
      <c r="Y29" s="225" t="str">
        <f t="shared" ca="1" si="32"/>
        <v/>
      </c>
      <c r="Z29" s="225" t="str">
        <f t="shared" ca="1" si="32"/>
        <v/>
      </c>
      <c r="AA29" s="225" t="str">
        <f t="shared" ca="1" si="32"/>
        <v/>
      </c>
      <c r="AB29" s="225" t="str">
        <f t="shared" ca="1" si="32"/>
        <v/>
      </c>
      <c r="AC29" s="225" t="str">
        <f t="shared" ca="1" si="32"/>
        <v/>
      </c>
      <c r="AD29" s="225" t="str">
        <f t="shared" ca="1" si="32"/>
        <v/>
      </c>
      <c r="AE29" s="225" t="str">
        <f t="shared" ca="1" si="32"/>
        <v/>
      </c>
      <c r="AF29" s="225" t="str">
        <f t="shared" ca="1" si="32"/>
        <v/>
      </c>
      <c r="AG29" s="225" t="str">
        <f t="shared" ca="1" si="32"/>
        <v/>
      </c>
      <c r="AH29" s="225" t="str">
        <f t="shared" ca="1" si="32"/>
        <v/>
      </c>
      <c r="AI29" s="225" t="str">
        <f t="shared" ca="1" si="32"/>
        <v/>
      </c>
      <c r="AJ29" s="225" t="str">
        <f t="shared" ca="1" si="32"/>
        <v/>
      </c>
      <c r="AK29" s="225" t="str">
        <f t="shared" ca="1" si="32"/>
        <v/>
      </c>
      <c r="AL29" s="225" t="str">
        <f t="shared" ca="1" si="32"/>
        <v/>
      </c>
      <c r="AM29" s="225" t="str">
        <f t="shared" ca="1" si="32"/>
        <v/>
      </c>
      <c r="AN29" s="225" t="str">
        <f t="shared" ca="1" si="32"/>
        <v/>
      </c>
      <c r="AO29" s="225" t="str">
        <f t="shared" ca="1" si="32"/>
        <v/>
      </c>
      <c r="AP29" s="225" t="str">
        <f t="shared" ca="1" si="32"/>
        <v/>
      </c>
      <c r="AQ29" s="225" t="str">
        <f t="shared" ca="1" si="32"/>
        <v/>
      </c>
      <c r="AR29" s="225" t="str">
        <f t="shared" ca="1" si="32"/>
        <v/>
      </c>
      <c r="AS29" s="225" t="str">
        <f t="shared" ca="1" si="32"/>
        <v/>
      </c>
      <c r="AT29" s="225" t="str">
        <f t="shared" ca="1" si="32"/>
        <v/>
      </c>
      <c r="AU29" s="225" t="str">
        <f t="shared" ca="1" si="32"/>
        <v/>
      </c>
      <c r="AV29" s="225" t="str">
        <f t="shared" ca="1" si="32"/>
        <v/>
      </c>
      <c r="AW29" s="225" t="str">
        <f t="shared" ca="1" si="32"/>
        <v/>
      </c>
      <c r="AX29" s="225" t="str">
        <f t="shared" ca="1" si="32"/>
        <v/>
      </c>
      <c r="AY29" s="225" t="str">
        <f t="shared" ca="1" si="32"/>
        <v/>
      </c>
      <c r="AZ29" s="225" t="str">
        <f t="shared" ca="1" si="32"/>
        <v/>
      </c>
      <c r="BA29" s="225" t="str">
        <f t="shared" ca="1" si="32"/>
        <v/>
      </c>
      <c r="BB29" s="225" t="str">
        <f t="shared" ca="1" si="32"/>
        <v/>
      </c>
      <c r="BC29" s="225" t="str">
        <f t="shared" ca="1" si="32"/>
        <v/>
      </c>
      <c r="BD29" s="225" t="str">
        <f t="shared" ca="1" si="32"/>
        <v/>
      </c>
      <c r="BE29" s="226" t="str">
        <f t="shared" ca="1" si="32"/>
        <v/>
      </c>
      <c r="BF29" s="187"/>
    </row>
    <row r="30" spans="1:58" ht="18" hidden="1" customHeight="1" thickBot="1">
      <c r="A30" s="705" t="s">
        <v>200</v>
      </c>
      <c r="B30" s="706"/>
      <c r="C30" s="707"/>
      <c r="D30" s="192"/>
      <c r="E30" s="204"/>
      <c r="F30" s="204"/>
      <c r="G30" s="114"/>
      <c r="H30" s="191"/>
      <c r="I30" s="190"/>
      <c r="J30" s="193"/>
      <c r="K30" s="193"/>
      <c r="L30" s="193"/>
      <c r="M30" s="194"/>
      <c r="N30" s="192"/>
      <c r="O30" s="204"/>
      <c r="P30" s="204"/>
      <c r="Q30" s="204"/>
      <c r="R30" s="114"/>
      <c r="S30" s="227" t="str">
        <f t="shared" ref="S30:BE30" ca="1" si="33">IF($I$32="しない",IF(IFERROR(S149,"")="","",S149),IF(IFERROR(S145,"")="","",S145))</f>
        <v/>
      </c>
      <c r="T30" s="228" t="str">
        <f t="shared" ca="1" si="33"/>
        <v/>
      </c>
      <c r="U30" s="228" t="str">
        <f t="shared" ca="1" si="33"/>
        <v/>
      </c>
      <c r="V30" s="228" t="str">
        <f t="shared" ca="1" si="33"/>
        <v/>
      </c>
      <c r="W30" s="228" t="str">
        <f t="shared" ca="1" si="33"/>
        <v/>
      </c>
      <c r="X30" s="228" t="str">
        <f t="shared" ca="1" si="33"/>
        <v/>
      </c>
      <c r="Y30" s="228" t="str">
        <f t="shared" ca="1" si="33"/>
        <v/>
      </c>
      <c r="Z30" s="228" t="str">
        <f t="shared" ca="1" si="33"/>
        <v/>
      </c>
      <c r="AA30" s="228" t="str">
        <f t="shared" ca="1" si="33"/>
        <v/>
      </c>
      <c r="AB30" s="228" t="str">
        <f t="shared" ca="1" si="33"/>
        <v/>
      </c>
      <c r="AC30" s="228" t="str">
        <f t="shared" ca="1" si="33"/>
        <v/>
      </c>
      <c r="AD30" s="228" t="str">
        <f t="shared" ca="1" si="33"/>
        <v/>
      </c>
      <c r="AE30" s="228" t="str">
        <f t="shared" ca="1" si="33"/>
        <v/>
      </c>
      <c r="AF30" s="228" t="str">
        <f t="shared" ca="1" si="33"/>
        <v/>
      </c>
      <c r="AG30" s="228" t="str">
        <f t="shared" ca="1" si="33"/>
        <v/>
      </c>
      <c r="AH30" s="228" t="str">
        <f t="shared" ca="1" si="33"/>
        <v/>
      </c>
      <c r="AI30" s="228" t="str">
        <f t="shared" ca="1" si="33"/>
        <v/>
      </c>
      <c r="AJ30" s="228" t="str">
        <f t="shared" ca="1" si="33"/>
        <v/>
      </c>
      <c r="AK30" s="228" t="str">
        <f t="shared" ca="1" si="33"/>
        <v/>
      </c>
      <c r="AL30" s="228" t="str">
        <f t="shared" ca="1" si="33"/>
        <v/>
      </c>
      <c r="AM30" s="228" t="str">
        <f t="shared" ca="1" si="33"/>
        <v/>
      </c>
      <c r="AN30" s="228" t="str">
        <f t="shared" ca="1" si="33"/>
        <v/>
      </c>
      <c r="AO30" s="228" t="str">
        <f t="shared" ca="1" si="33"/>
        <v/>
      </c>
      <c r="AP30" s="228" t="str">
        <f t="shared" ca="1" si="33"/>
        <v/>
      </c>
      <c r="AQ30" s="228" t="str">
        <f t="shared" ca="1" si="33"/>
        <v/>
      </c>
      <c r="AR30" s="228" t="str">
        <f t="shared" ca="1" si="33"/>
        <v/>
      </c>
      <c r="AS30" s="228" t="str">
        <f t="shared" ca="1" si="33"/>
        <v/>
      </c>
      <c r="AT30" s="228" t="str">
        <f t="shared" ca="1" si="33"/>
        <v/>
      </c>
      <c r="AU30" s="228" t="str">
        <f t="shared" ca="1" si="33"/>
        <v/>
      </c>
      <c r="AV30" s="228" t="str">
        <f t="shared" ca="1" si="33"/>
        <v/>
      </c>
      <c r="AW30" s="228" t="str">
        <f t="shared" ca="1" si="33"/>
        <v/>
      </c>
      <c r="AX30" s="228" t="str">
        <f t="shared" ca="1" si="33"/>
        <v/>
      </c>
      <c r="AY30" s="228" t="str">
        <f t="shared" ca="1" si="33"/>
        <v/>
      </c>
      <c r="AZ30" s="228" t="str">
        <f t="shared" ca="1" si="33"/>
        <v/>
      </c>
      <c r="BA30" s="228" t="str">
        <f t="shared" ca="1" si="33"/>
        <v/>
      </c>
      <c r="BB30" s="228" t="str">
        <f t="shared" ca="1" si="33"/>
        <v/>
      </c>
      <c r="BC30" s="228" t="str">
        <f t="shared" ca="1" si="33"/>
        <v/>
      </c>
      <c r="BD30" s="228" t="str">
        <f t="shared" ca="1" si="33"/>
        <v/>
      </c>
      <c r="BE30" s="229" t="str">
        <f t="shared" ca="1" si="33"/>
        <v/>
      </c>
    </row>
    <row r="31" spans="1:58" ht="18" hidden="1" customHeight="1" thickBot="1">
      <c r="A31" s="467" t="s">
        <v>189</v>
      </c>
      <c r="B31" s="468"/>
      <c r="C31" s="468"/>
      <c r="D31" s="468"/>
      <c r="E31" s="468"/>
      <c r="F31" s="468"/>
      <c r="G31" s="468"/>
      <c r="H31" s="708"/>
      <c r="I31" s="718">
        <v>1</v>
      </c>
      <c r="J31" s="718"/>
      <c r="K31" s="718"/>
      <c r="L31" s="718"/>
      <c r="M31" s="218" t="s">
        <v>190</v>
      </c>
      <c r="N31" s="683" t="s">
        <v>207</v>
      </c>
      <c r="O31" s="684"/>
      <c r="P31" s="684"/>
      <c r="Q31" s="684"/>
      <c r="R31" s="684"/>
      <c r="S31" s="721" t="str">
        <f>IF(L2="","",#REF!)</f>
        <v/>
      </c>
      <c r="T31" s="721"/>
      <c r="U31" s="721"/>
      <c r="V31" s="722" t="str">
        <f>IF(S32="","",IF(S31-S32&gt;2,"目標よりも最高ボーメが相当低い。",IF(S31-S32&gt;1,"目標より最高ボーメが低い。",IF(S31-S32&lt;-2,"目標より最高ボーメが相当高い。",IF(S31-S32&lt;-1,"目標より最高ボーメが高い。",""))))&amp;IF(S32&gt;7,"絶対的に最高ボーメが高いので、濃糖圧迫に注意すること（酸が高くなり、後半の切れが悪くなる）。",IF(S32&lt;4,"絶対的に最高ボーメが低いので、溶け具合や発酵具合を確認すること（身ウスになったり、香りが低くなる）。",""))&amp;IF(F157&gt;6,"最高ボーメが来るのが遅れ気味である。",""))</f>
        <v/>
      </c>
      <c r="W31" s="722"/>
      <c r="X31" s="722"/>
      <c r="Y31" s="722"/>
      <c r="Z31" s="722"/>
      <c r="AA31" s="723"/>
      <c r="AB31" s="683" t="s">
        <v>208</v>
      </c>
      <c r="AC31" s="684"/>
      <c r="AD31" s="684"/>
      <c r="AE31" s="684"/>
      <c r="AF31" s="684"/>
      <c r="AG31" s="728" t="str">
        <f>IF(L2="","",#REF!)</f>
        <v/>
      </c>
      <c r="AH31" s="728"/>
      <c r="AI31" s="728"/>
      <c r="AJ31" s="722" t="str">
        <f>IF(AG32="","",IF(AG31-AG32&gt;10,"目標よりも最高BMDが相当低い。",IF(AG31-AG32&gt;5,"目標より最高BMDが低い。",IF(AG31-AG32&lt;-10,"目標より最高BMDが相当高い。",IF(AG31-AG32&lt;-5,"目標より最高BMDが高い。",""))))&amp;IF(AG32&gt;60,"絶対的に最高BMDが高いので、濃糖圧迫に注意すること（酸が高くなり、後半の切れが悪くなる）。",IF(AG32&lt;50,"絶対的に最高BMDが低いので、溶け具合や発酵具合を確認すること（身ウスになったり、香りが低くなる）。",""))&amp;IF(F160&gt;14,"最高BMDが来るのが遅れ気味である。",IF(F160&lt;7,"最高BMDが来るのが早めである。","")))</f>
        <v/>
      </c>
      <c r="AK31" s="722"/>
      <c r="AL31" s="722"/>
      <c r="AM31" s="722"/>
      <c r="AN31" s="722"/>
      <c r="AO31" s="723"/>
      <c r="AP31" s="731" t="e">
        <f>"目標アルコール分（"&amp;#REF!&amp;"度）の時の予測日本酒度"</f>
        <v>#REF!</v>
      </c>
      <c r="AQ31" s="732"/>
      <c r="AR31" s="732"/>
      <c r="AS31" s="732"/>
      <c r="AT31" s="732"/>
      <c r="AU31" s="732"/>
      <c r="AV31" s="732"/>
      <c r="AW31" s="732"/>
      <c r="AX31" s="733" t="str">
        <f>IF(COUNTA(S15:BE15)=0,"",IF(H153=0,"",H152+(#REF!-H153)/1.8*10))</f>
        <v/>
      </c>
      <c r="AY31" s="733"/>
      <c r="AZ31" s="733"/>
      <c r="BA31" s="709" t="str">
        <f>IF(AX31="","",IF(AX33="","",IF(AX31+10&lt;#REF!,"原エキスが目標よりも相当多く、相当甘くなる、ないしは高いアルコール分になる。早めかつ多めの追水が望ましい。",IF(AX31+5&lt;#REF!,"原エキスが目標よりも多めのため、甘めないしは高めのアルコール分になる。追水で調整。",IF(AX31&gt;#REF!+10,"原エキスが目標よりも相当低く、相当辛い、ないしは低いアルコール分になる。早めの酵素添加等の対応が必要。追水は厳禁。",IF(AX31&gt;#REF!+5,"原エキスが目標よりも低めのため、辛めないしは低めのアルコール分になる。必要に応じ酵素剤を打つとともに、追水量は控えめにする。",""))))))</f>
        <v/>
      </c>
      <c r="BB31" s="710"/>
      <c r="BC31" s="710"/>
      <c r="BD31" s="710"/>
      <c r="BE31" s="711"/>
    </row>
    <row r="32" spans="1:58" ht="18" hidden="1" customHeight="1" thickBot="1">
      <c r="A32" s="715" t="s">
        <v>201</v>
      </c>
      <c r="B32" s="716"/>
      <c r="C32" s="716"/>
      <c r="D32" s="716"/>
      <c r="E32" s="716"/>
      <c r="F32" s="716"/>
      <c r="G32" s="716"/>
      <c r="H32" s="717"/>
      <c r="I32" s="718" t="s">
        <v>255</v>
      </c>
      <c r="J32" s="718"/>
      <c r="K32" s="718"/>
      <c r="L32" s="718"/>
      <c r="M32" s="718"/>
      <c r="N32" s="719" t="s">
        <v>206</v>
      </c>
      <c r="O32" s="481"/>
      <c r="P32" s="481"/>
      <c r="Q32" s="481"/>
      <c r="R32" s="481"/>
      <c r="S32" s="720" t="str">
        <f>IF(F156="","",IF(COUNTA(S14:BE14)=0,"",F156))</f>
        <v/>
      </c>
      <c r="T32" s="720"/>
      <c r="U32" s="720"/>
      <c r="V32" s="724"/>
      <c r="W32" s="724"/>
      <c r="X32" s="724"/>
      <c r="Y32" s="724"/>
      <c r="Z32" s="724"/>
      <c r="AA32" s="725"/>
      <c r="AB32" s="719" t="s">
        <v>209</v>
      </c>
      <c r="AC32" s="481"/>
      <c r="AD32" s="481"/>
      <c r="AE32" s="481"/>
      <c r="AF32" s="481"/>
      <c r="AG32" s="720" t="str">
        <f>IF(F159="","",IF(COUNTA(S14:BE14)=0,"",F159))</f>
        <v/>
      </c>
      <c r="AH32" s="720"/>
      <c r="AI32" s="720"/>
      <c r="AJ32" s="724"/>
      <c r="AK32" s="724"/>
      <c r="AL32" s="724"/>
      <c r="AM32" s="724"/>
      <c r="AN32" s="724"/>
      <c r="AO32" s="725"/>
      <c r="AP32" s="156"/>
      <c r="BA32" s="712"/>
      <c r="BB32" s="713"/>
      <c r="BC32" s="713"/>
      <c r="BD32" s="713"/>
      <c r="BE32" s="714"/>
    </row>
    <row r="33" spans="1:58" ht="18" hidden="1" customHeight="1">
      <c r="A33" s="686" t="s">
        <v>254</v>
      </c>
      <c r="B33" s="687"/>
      <c r="C33" s="687"/>
      <c r="D33" s="687"/>
      <c r="E33" s="687"/>
      <c r="F33" s="687"/>
      <c r="G33" s="687"/>
      <c r="H33" s="688"/>
      <c r="I33" s="689" t="s">
        <v>260</v>
      </c>
      <c r="J33" s="690"/>
      <c r="K33" s="690"/>
      <c r="L33" s="690"/>
      <c r="M33" s="691"/>
      <c r="N33" s="692" t="s">
        <v>191</v>
      </c>
      <c r="O33" s="693"/>
      <c r="P33" s="693"/>
      <c r="Q33" s="693"/>
      <c r="R33" s="693"/>
      <c r="S33" s="694" t="str">
        <f>IF(S32="","",IF(F157="","",F157&amp;"日"))</f>
        <v/>
      </c>
      <c r="T33" s="694"/>
      <c r="U33" s="694"/>
      <c r="V33" s="726"/>
      <c r="W33" s="726"/>
      <c r="X33" s="726"/>
      <c r="Y33" s="726"/>
      <c r="Z33" s="726"/>
      <c r="AA33" s="727"/>
      <c r="AB33" s="692" t="s">
        <v>150</v>
      </c>
      <c r="AC33" s="693"/>
      <c r="AD33" s="693"/>
      <c r="AE33" s="693"/>
      <c r="AF33" s="693"/>
      <c r="AG33" s="694" t="str">
        <f>IF(AG32="","",IF(F160="","",F160&amp;"日"))</f>
        <v/>
      </c>
      <c r="AH33" s="694"/>
      <c r="AI33" s="694"/>
      <c r="AJ33" s="726"/>
      <c r="AK33" s="726"/>
      <c r="AL33" s="726"/>
      <c r="AM33" s="726"/>
      <c r="AN33" s="726"/>
      <c r="AO33" s="727"/>
      <c r="AP33" s="729" t="e">
        <f>"目標日本酒度（"&amp;IF(#REF!&lt;0,#REF!,IF(#REF!&gt;0,"+"&amp;#REF!,"±"&amp;#REF!))&amp;"）の時の予測アルコール分（度）"</f>
        <v>#REF!</v>
      </c>
      <c r="AQ33" s="399"/>
      <c r="AR33" s="399"/>
      <c r="AS33" s="399"/>
      <c r="AT33" s="399"/>
      <c r="AU33" s="399"/>
      <c r="AV33" s="399"/>
      <c r="AW33" s="399"/>
      <c r="AX33" s="730" t="str">
        <f>IF(COUNTA(S15:BE15)=0,"",IF(AX31="","",ROUND((#REF!-H152)/10*1.8+H153,1)&amp;"度"))</f>
        <v/>
      </c>
      <c r="AY33" s="730"/>
      <c r="AZ33" s="730"/>
      <c r="BA33" s="712"/>
      <c r="BB33" s="713"/>
      <c r="BC33" s="713"/>
      <c r="BD33" s="713"/>
      <c r="BE33" s="714"/>
    </row>
    <row r="34" spans="1:58" ht="19.5" customHeight="1" thickBot="1">
      <c r="C34" s="188"/>
      <c r="D34" s="188"/>
      <c r="S34"/>
      <c r="AA34"/>
      <c r="AJ34"/>
      <c r="AK34"/>
      <c r="AL34"/>
      <c r="AM34"/>
      <c r="AN34"/>
      <c r="AO34"/>
      <c r="AP34"/>
      <c r="AQ34"/>
      <c r="AR34"/>
      <c r="AS34"/>
      <c r="BE34"/>
      <c r="BF34" s="187"/>
    </row>
    <row r="35" spans="1:58" s="42" customFormat="1" ht="19.5" customHeight="1">
      <c r="A35" s="683" t="s">
        <v>42</v>
      </c>
      <c r="B35" s="684"/>
      <c r="C35" s="202" t="s">
        <v>44</v>
      </c>
      <c r="D35" s="83"/>
      <c r="E35" s="84"/>
      <c r="F35" s="84"/>
      <c r="G35" s="85"/>
      <c r="H35" s="128"/>
      <c r="I35" s="83"/>
      <c r="J35" s="84"/>
      <c r="K35" s="84"/>
      <c r="L35" s="84"/>
      <c r="M35" s="85"/>
      <c r="N35" s="83"/>
      <c r="O35" s="84"/>
      <c r="P35" s="84"/>
      <c r="Q35" s="84"/>
      <c r="R35" s="85"/>
      <c r="S35" s="86"/>
      <c r="T35" s="84"/>
      <c r="U35" s="84"/>
      <c r="V35" s="84"/>
      <c r="W35" s="84"/>
      <c r="X35" s="84"/>
      <c r="Y35" s="84"/>
      <c r="Z35" s="84"/>
      <c r="AA35" s="87"/>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8"/>
    </row>
    <row r="36" spans="1:58" s="42" customFormat="1" ht="20.100000000000001" customHeight="1" thickBot="1">
      <c r="A36" s="157"/>
      <c r="B36" s="199" t="s">
        <v>43</v>
      </c>
      <c r="C36" s="201" t="s">
        <v>146</v>
      </c>
      <c r="D36" s="685"/>
      <c r="E36" s="584"/>
      <c r="F36" s="584"/>
      <c r="G36" s="585"/>
      <c r="H36" s="200"/>
      <c r="I36" s="685"/>
      <c r="J36" s="584"/>
      <c r="K36" s="584"/>
      <c r="L36" s="584"/>
      <c r="M36" s="585"/>
      <c r="N36" s="685"/>
      <c r="O36" s="584"/>
      <c r="P36" s="584"/>
      <c r="Q36" s="584"/>
      <c r="R36" s="585"/>
      <c r="S36" s="92"/>
      <c r="T36" s="198"/>
      <c r="U36" s="198"/>
      <c r="V36" s="198"/>
      <c r="W36" s="198"/>
      <c r="X36" s="198"/>
      <c r="Y36" s="198"/>
      <c r="Z36" s="198"/>
      <c r="AA36" s="93"/>
      <c r="AB36" s="198"/>
      <c r="AC36" s="198"/>
      <c r="AD36" s="198"/>
      <c r="AE36" s="198"/>
      <c r="AF36" s="198"/>
      <c r="AG36" s="198"/>
      <c r="AH36" s="198"/>
      <c r="AI36" s="198"/>
      <c r="AJ36" s="198"/>
      <c r="AK36" s="198"/>
      <c r="AL36" s="198"/>
      <c r="AM36" s="198"/>
      <c r="AN36" s="198"/>
      <c r="AO36" s="198"/>
      <c r="AP36" s="198"/>
      <c r="AQ36" s="198"/>
      <c r="AR36" s="198"/>
      <c r="AS36" s="198"/>
      <c r="AT36" s="198"/>
      <c r="AU36" s="198"/>
      <c r="AV36" s="198"/>
      <c r="AW36" s="198"/>
      <c r="AX36" s="198"/>
      <c r="AY36" s="198"/>
      <c r="AZ36" s="198"/>
      <c r="BA36" s="198"/>
      <c r="BB36" s="198"/>
      <c r="BC36" s="198"/>
      <c r="BD36" s="198"/>
      <c r="BE36" s="94"/>
    </row>
    <row r="37" spans="1:58" s="42" customFormat="1" ht="20.100000000000001" customHeight="1">
      <c r="A37" s="683" t="s">
        <v>45</v>
      </c>
      <c r="B37" s="684"/>
      <c r="C37" s="202" t="s">
        <v>95</v>
      </c>
      <c r="D37" s="83"/>
      <c r="E37" s="84"/>
      <c r="F37" s="84"/>
      <c r="G37" s="85"/>
      <c r="H37" s="128"/>
      <c r="I37" s="83"/>
      <c r="J37" s="84"/>
      <c r="K37" s="84"/>
      <c r="L37" s="84"/>
      <c r="M37" s="85"/>
      <c r="N37" s="83"/>
      <c r="O37" s="84"/>
      <c r="P37" s="84"/>
      <c r="Q37" s="84"/>
      <c r="R37" s="85"/>
      <c r="S37" s="86"/>
      <c r="T37" s="84"/>
      <c r="U37" s="84"/>
      <c r="V37" s="84"/>
      <c r="W37" s="84"/>
      <c r="X37" s="84"/>
      <c r="Y37" s="84"/>
      <c r="Z37" s="84"/>
      <c r="AA37" s="87"/>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8"/>
    </row>
    <row r="38" spans="1:58" s="42" customFormat="1" ht="20.100000000000001" customHeight="1">
      <c r="A38" s="695"/>
      <c r="B38" s="697" t="s">
        <v>43</v>
      </c>
      <c r="C38" s="203" t="s">
        <v>44</v>
      </c>
      <c r="D38" s="77"/>
      <c r="E38" s="182"/>
      <c r="F38" s="182"/>
      <c r="G38" s="78"/>
      <c r="H38" s="129"/>
      <c r="I38" s="77"/>
      <c r="J38" s="182"/>
      <c r="K38" s="182"/>
      <c r="L38" s="182"/>
      <c r="M38" s="78"/>
      <c r="N38" s="77"/>
      <c r="O38" s="182"/>
      <c r="P38" s="182"/>
      <c r="Q38" s="182"/>
      <c r="R38" s="78"/>
      <c r="S38" s="89"/>
      <c r="T38" s="182"/>
      <c r="U38" s="182"/>
      <c r="V38" s="182"/>
      <c r="W38" s="182"/>
      <c r="X38" s="182"/>
      <c r="Y38" s="182"/>
      <c r="Z38" s="182"/>
      <c r="AA38" s="90"/>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91"/>
    </row>
    <row r="39" spans="1:58" s="42" customFormat="1" ht="20.100000000000001" customHeight="1" thickBot="1">
      <c r="A39" s="696"/>
      <c r="B39" s="698"/>
      <c r="C39" s="201" t="s">
        <v>146</v>
      </c>
      <c r="D39" s="699"/>
      <c r="E39" s="700"/>
      <c r="F39" s="700"/>
      <c r="G39" s="701"/>
      <c r="H39" s="200"/>
      <c r="I39" s="699"/>
      <c r="J39" s="700"/>
      <c r="K39" s="700"/>
      <c r="L39" s="700"/>
      <c r="M39" s="701"/>
      <c r="N39" s="699"/>
      <c r="O39" s="700"/>
      <c r="P39" s="700"/>
      <c r="Q39" s="700"/>
      <c r="R39" s="701"/>
      <c r="S39" s="92"/>
      <c r="T39" s="198"/>
      <c r="U39" s="198"/>
      <c r="V39" s="198"/>
      <c r="W39" s="198"/>
      <c r="X39" s="198"/>
      <c r="Y39" s="198"/>
      <c r="Z39" s="198"/>
      <c r="AA39" s="93"/>
      <c r="AB39" s="198"/>
      <c r="AC39" s="198"/>
      <c r="AD39" s="198"/>
      <c r="AE39" s="198"/>
      <c r="AF39" s="198"/>
      <c r="AG39" s="198"/>
      <c r="AH39" s="198"/>
      <c r="AI39" s="198"/>
      <c r="AJ39" s="198"/>
      <c r="AK39" s="198"/>
      <c r="AL39" s="198"/>
      <c r="AM39" s="198"/>
      <c r="AN39" s="198"/>
      <c r="AO39" s="198"/>
      <c r="AP39" s="198"/>
      <c r="AQ39" s="198"/>
      <c r="AR39" s="198"/>
      <c r="AS39" s="198"/>
      <c r="AT39" s="198"/>
      <c r="AU39" s="198"/>
      <c r="AV39" s="198"/>
      <c r="AW39" s="198"/>
      <c r="AX39" s="198"/>
      <c r="AY39" s="198"/>
      <c r="AZ39" s="198"/>
      <c r="BA39" s="198"/>
      <c r="BB39" s="198"/>
      <c r="BC39" s="198"/>
      <c r="BD39" s="198"/>
      <c r="BE39" s="94"/>
    </row>
    <row r="40" spans="1:58" s="42" customFormat="1" ht="20.100000000000001" customHeight="1">
      <c r="A40" s="683" t="s">
        <v>45</v>
      </c>
      <c r="B40" s="684"/>
      <c r="C40" s="202" t="s">
        <v>95</v>
      </c>
      <c r="D40" s="158"/>
      <c r="E40" s="159"/>
      <c r="F40" s="159"/>
      <c r="G40" s="160"/>
      <c r="H40" s="161"/>
      <c r="I40" s="158"/>
      <c r="J40" s="159"/>
      <c r="K40" s="159"/>
      <c r="L40" s="159"/>
      <c r="M40" s="160"/>
      <c r="N40" s="158"/>
      <c r="O40" s="159"/>
      <c r="P40" s="159"/>
      <c r="Q40" s="159"/>
      <c r="R40" s="160"/>
      <c r="S40" s="162"/>
      <c r="T40" s="159"/>
      <c r="U40" s="159"/>
      <c r="V40" s="159"/>
      <c r="W40" s="159"/>
      <c r="X40" s="159"/>
      <c r="Y40" s="159"/>
      <c r="Z40" s="159"/>
      <c r="AA40" s="163"/>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64"/>
    </row>
    <row r="41" spans="1:58" s="42" customFormat="1" ht="20.100000000000001" customHeight="1">
      <c r="A41" s="695"/>
      <c r="B41" s="697" t="s">
        <v>43</v>
      </c>
      <c r="C41" s="203" t="s">
        <v>44</v>
      </c>
      <c r="D41" s="77"/>
      <c r="E41" s="182"/>
      <c r="F41" s="182"/>
      <c r="G41" s="78"/>
      <c r="H41" s="129"/>
      <c r="I41" s="77"/>
      <c r="J41" s="182"/>
      <c r="K41" s="182"/>
      <c r="L41" s="182"/>
      <c r="M41" s="78"/>
      <c r="N41" s="77"/>
      <c r="O41" s="182"/>
      <c r="P41" s="182"/>
      <c r="Q41" s="182"/>
      <c r="R41" s="78"/>
      <c r="S41" s="89"/>
      <c r="T41" s="182"/>
      <c r="U41" s="182"/>
      <c r="V41" s="182"/>
      <c r="W41" s="182"/>
      <c r="X41" s="182"/>
      <c r="Y41" s="182"/>
      <c r="Z41" s="182"/>
      <c r="AA41" s="90"/>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91"/>
    </row>
    <row r="42" spans="1:58" s="42" customFormat="1" ht="20.100000000000001" customHeight="1" thickBot="1">
      <c r="A42" s="696"/>
      <c r="B42" s="698"/>
      <c r="C42" s="201" t="s">
        <v>146</v>
      </c>
      <c r="D42" s="699"/>
      <c r="E42" s="700"/>
      <c r="F42" s="700"/>
      <c r="G42" s="701"/>
      <c r="H42" s="200"/>
      <c r="I42" s="699"/>
      <c r="J42" s="700"/>
      <c r="K42" s="700"/>
      <c r="L42" s="700"/>
      <c r="M42" s="701"/>
      <c r="N42" s="699"/>
      <c r="O42" s="700"/>
      <c r="P42" s="700"/>
      <c r="Q42" s="700"/>
      <c r="R42" s="701"/>
      <c r="S42" s="92"/>
      <c r="T42" s="198"/>
      <c r="U42" s="198"/>
      <c r="V42" s="198"/>
      <c r="W42" s="198"/>
      <c r="X42" s="198"/>
      <c r="Y42" s="198"/>
      <c r="Z42" s="198"/>
      <c r="AA42" s="93"/>
      <c r="AB42" s="198"/>
      <c r="AC42" s="198"/>
      <c r="AD42" s="198"/>
      <c r="AE42" s="198"/>
      <c r="AF42" s="198"/>
      <c r="AG42" s="198"/>
      <c r="AH42" s="198"/>
      <c r="AI42" s="198"/>
      <c r="AJ42" s="198"/>
      <c r="AK42" s="198"/>
      <c r="AL42" s="198"/>
      <c r="AM42" s="198"/>
      <c r="AN42" s="198"/>
      <c r="AO42" s="198"/>
      <c r="AP42" s="198"/>
      <c r="AQ42" s="198"/>
      <c r="AR42" s="198"/>
      <c r="AS42" s="198"/>
      <c r="AT42" s="198"/>
      <c r="AU42" s="198"/>
      <c r="AV42" s="198"/>
      <c r="AW42" s="198"/>
      <c r="AX42" s="198"/>
      <c r="AY42" s="198"/>
      <c r="AZ42" s="198"/>
      <c r="BA42" s="198"/>
      <c r="BB42" s="198"/>
      <c r="BC42" s="198"/>
      <c r="BD42" s="198"/>
      <c r="BE42" s="94"/>
    </row>
    <row r="43" spans="1:58" s="42" customFormat="1" ht="20.100000000000001" customHeight="1" thickBot="1">
      <c r="A43" s="679" t="s">
        <v>147</v>
      </c>
      <c r="B43" s="442"/>
      <c r="C43" s="576"/>
      <c r="D43" s="680" t="str">
        <f>IF(SUM(D36,D39,D42)=0,"",IF(SUM(D71:I71)=0,"",ROUND(SUM(D36,D39,D42)/SUM(D71:I71),3)))</f>
        <v/>
      </c>
      <c r="E43" s="681"/>
      <c r="F43" s="681"/>
      <c r="G43" s="682"/>
      <c r="H43" s="165"/>
      <c r="I43" s="680" t="str">
        <f>IF(SUM(I36,I39,I42)=0,"",IF(SUM(D71:L71)=0,"",ROUND(SUM(I36,I39,I42)/SUM(D71:L71),3)))</f>
        <v/>
      </c>
      <c r="J43" s="681"/>
      <c r="K43" s="681"/>
      <c r="L43" s="681"/>
      <c r="M43" s="682"/>
      <c r="N43" s="680" t="str">
        <f>IF(N36="","",IF(SUM(D71:O71)=0,"",ROUND(SUM(N36,N39,N42)/SUM(D71:O71),3)))</f>
        <v/>
      </c>
      <c r="O43" s="681"/>
      <c r="P43" s="681"/>
      <c r="Q43" s="681"/>
      <c r="R43" s="682"/>
      <c r="S43" s="657" t="s">
        <v>211</v>
      </c>
      <c r="T43" s="658"/>
      <c r="U43" s="658"/>
      <c r="V43" s="658"/>
      <c r="W43" s="659" t="str">
        <f>IF(D71="","",IF(Y71="","",ROUND(D71/Y71,3)))</f>
        <v/>
      </c>
      <c r="X43" s="659"/>
      <c r="Y43" s="660"/>
      <c r="Z43" s="657" t="s">
        <v>4</v>
      </c>
      <c r="AA43" s="658"/>
      <c r="AB43" s="658"/>
      <c r="AC43" s="658"/>
      <c r="AD43" s="661" t="str">
        <f>IF(IFERROR(Q189,"")="","",Q189)</f>
        <v/>
      </c>
      <c r="AE43" s="661"/>
      <c r="AF43" s="661"/>
      <c r="AG43" s="662" t="str">
        <f>IF(IFERROR(R189,"")="","",R189)</f>
        <v/>
      </c>
      <c r="AH43" s="663"/>
      <c r="AI43" s="663"/>
      <c r="AJ43" s="663"/>
      <c r="AK43" s="662" t="str">
        <f>IF(IFERROR(T189,"")="","",T189)</f>
        <v/>
      </c>
      <c r="AL43" s="663"/>
      <c r="AM43" s="663"/>
      <c r="AN43" s="664"/>
      <c r="AO43" s="657" t="s">
        <v>139</v>
      </c>
      <c r="AP43" s="658"/>
      <c r="AQ43" s="658"/>
      <c r="AR43" s="658"/>
      <c r="AS43" s="661" t="str">
        <f>IF(IFERROR(AA189,"")="","",AA189)</f>
        <v/>
      </c>
      <c r="AT43" s="661"/>
      <c r="AU43" s="661"/>
      <c r="AV43" s="662" t="str">
        <f>IF(IFERROR(AB189,"")="","",AB189)</f>
        <v/>
      </c>
      <c r="AW43" s="663"/>
      <c r="AX43" s="663"/>
      <c r="AY43" s="664"/>
      <c r="BD43" s="41"/>
    </row>
    <row r="44" spans="1:58" s="42" customFormat="1" ht="20.100000000000001" customHeight="1" thickBot="1">
      <c r="A44" s="620" t="s">
        <v>220</v>
      </c>
      <c r="B44" s="422"/>
      <c r="C44" s="675"/>
      <c r="D44" s="676" t="str">
        <f>IF(SUM(D74:I74)=0,"",IF(SUM(D71:I71)=0,"",ROUND(SUM(D74:I74)/SUM(D71:I71),3)))</f>
        <v/>
      </c>
      <c r="E44" s="677"/>
      <c r="F44" s="677"/>
      <c r="G44" s="678"/>
      <c r="H44" s="207"/>
      <c r="I44" s="676" t="str">
        <f>IF(SUM(D74:L74)=0,"",IF(SUM(D71:L71)=0,"",ROUND(SUM(D74:L74)/SUM(D71:L71),3)))</f>
        <v/>
      </c>
      <c r="J44" s="677"/>
      <c r="K44" s="677"/>
      <c r="L44" s="677"/>
      <c r="M44" s="678"/>
      <c r="N44" s="676" t="str">
        <f>IF(SUM(D74:O74)=0,"",IF(SUM(D71:O71)=0,"",ROUND(SUM(D74:O74)/SUM(D71:O71),3)))</f>
        <v/>
      </c>
      <c r="O44" s="677"/>
      <c r="P44" s="677"/>
      <c r="Q44" s="677"/>
      <c r="R44" s="678"/>
      <c r="S44" s="657" t="s">
        <v>212</v>
      </c>
      <c r="T44" s="658"/>
      <c r="U44" s="658"/>
      <c r="V44" s="658"/>
      <c r="W44" s="659" t="str">
        <f>IF(Y73="","",Y73/Y71)</f>
        <v/>
      </c>
      <c r="X44" s="659"/>
      <c r="Y44" s="660"/>
      <c r="Z44" s="657" t="s">
        <v>138</v>
      </c>
      <c r="AA44" s="658"/>
      <c r="AB44" s="658"/>
      <c r="AC44" s="658"/>
      <c r="AD44" s="661" t="str">
        <f>IF(IFERROR(Q190,"")="","",Q190)</f>
        <v/>
      </c>
      <c r="AE44" s="661"/>
      <c r="AF44" s="661"/>
      <c r="AG44" s="662" t="str">
        <f>IF(IFERROR(R190,"")="","",R190)</f>
        <v/>
      </c>
      <c r="AH44" s="663"/>
      <c r="AI44" s="663"/>
      <c r="AJ44" s="663"/>
      <c r="AK44" s="662" t="str">
        <f>IF(IFERROR(T190,"")="","",T190)</f>
        <v/>
      </c>
      <c r="AL44" s="663"/>
      <c r="AM44" s="663"/>
      <c r="AN44" s="664"/>
      <c r="AO44" s="657" t="s">
        <v>140</v>
      </c>
      <c r="AP44" s="658"/>
      <c r="AQ44" s="658"/>
      <c r="AR44" s="658"/>
      <c r="AS44" s="661" t="str">
        <f>IF(IFERROR(AA190,"")="","",AA190)</f>
        <v/>
      </c>
      <c r="AT44" s="661"/>
      <c r="AU44" s="661"/>
      <c r="AV44" s="662" t="str">
        <f>IF(IFERROR(AB190,"")="","",AB190)</f>
        <v/>
      </c>
      <c r="AW44" s="663"/>
      <c r="AX44" s="663"/>
      <c r="AY44" s="664"/>
      <c r="BD44" s="41"/>
    </row>
    <row r="45" spans="1:58" s="42" customFormat="1" ht="20.25" customHeight="1" thickBot="1">
      <c r="B45" s="41"/>
      <c r="C45" s="41"/>
      <c r="D45" s="43"/>
      <c r="E45" s="43"/>
      <c r="F45" s="43"/>
      <c r="G45" s="43"/>
      <c r="H45" s="41"/>
      <c r="I45" s="43"/>
      <c r="J45" s="43"/>
      <c r="K45" s="43"/>
      <c r="L45" s="43"/>
      <c r="M45" s="43"/>
      <c r="N45" s="43"/>
      <c r="O45" s="43"/>
      <c r="P45" s="43"/>
      <c r="Q45" s="43"/>
      <c r="R45" s="43"/>
      <c r="S45" s="657" t="s">
        <v>221</v>
      </c>
      <c r="T45" s="658"/>
      <c r="U45" s="658"/>
      <c r="V45" s="658"/>
      <c r="W45" s="659" t="str">
        <f>IF(SUM(D71:O71)=0,"",IF(SUM(D74:O74)+S74=0,"",ROUND((SUM(D74:O74)+S74)/SUM(D71:O71),3)))</f>
        <v/>
      </c>
      <c r="X45" s="659"/>
      <c r="Y45" s="660"/>
      <c r="Z45" s="657" t="s">
        <v>112</v>
      </c>
      <c r="AA45" s="658"/>
      <c r="AB45" s="658"/>
      <c r="AC45" s="658"/>
      <c r="AD45" s="661" t="str">
        <f>IF(IFERROR(Q191,"")="","",Q191)</f>
        <v/>
      </c>
      <c r="AE45" s="661"/>
      <c r="AF45" s="661"/>
      <c r="AG45" s="662" t="str">
        <f>IF(IFERROR(R191,"")="","",R191)</f>
        <v/>
      </c>
      <c r="AH45" s="663"/>
      <c r="AI45" s="663"/>
      <c r="AJ45" s="663"/>
      <c r="AK45" s="662" t="str">
        <f>IF(IFERROR(T191,"")="","",T191)</f>
        <v/>
      </c>
      <c r="AL45" s="663"/>
      <c r="AM45" s="663"/>
      <c r="AN45" s="664"/>
      <c r="AO45" s="665" t="s">
        <v>227</v>
      </c>
      <c r="AP45" s="666"/>
      <c r="AQ45" s="666"/>
      <c r="AR45" s="666"/>
      <c r="BC45" s="41"/>
    </row>
    <row r="46" spans="1:58" s="42" customFormat="1" ht="20.25" customHeight="1" thickBot="1">
      <c r="D46" s="41"/>
      <c r="E46" s="41"/>
      <c r="F46" s="41"/>
      <c r="G46" s="41"/>
      <c r="H46" s="41"/>
      <c r="I46" s="41"/>
      <c r="J46" s="41"/>
      <c r="K46" s="41"/>
      <c r="L46" s="41"/>
      <c r="M46" s="41"/>
      <c r="N46" s="41"/>
      <c r="O46" s="41"/>
      <c r="P46" s="41"/>
      <c r="Q46" s="41"/>
      <c r="R46" s="41"/>
      <c r="T46" s="41"/>
      <c r="U46" s="41"/>
      <c r="V46" s="41"/>
      <c r="W46" s="41"/>
      <c r="X46" s="41"/>
      <c r="Y46" s="41"/>
      <c r="Z46" s="40"/>
      <c r="AB46" s="41"/>
      <c r="AC46" s="41"/>
      <c r="AD46" s="41"/>
      <c r="AE46" s="41"/>
      <c r="AF46" s="41"/>
      <c r="BC46" s="41"/>
    </row>
    <row r="47" spans="1:58" ht="20.25" customHeight="1" thickBot="1">
      <c r="A47" s="491" t="s">
        <v>62</v>
      </c>
      <c r="B47" s="492"/>
      <c r="C47" s="493"/>
      <c r="AH47" s="41"/>
      <c r="AP47" s="46"/>
      <c r="AQ47"/>
      <c r="AR47"/>
      <c r="AS47"/>
      <c r="AT47"/>
      <c r="AU47"/>
      <c r="AV47"/>
      <c r="AW47"/>
      <c r="AX47"/>
      <c r="AY47"/>
      <c r="AZ47"/>
      <c r="BA47"/>
      <c r="BB47"/>
    </row>
    <row r="48" spans="1:58" ht="20.25" customHeight="1">
      <c r="A48" s="497"/>
      <c r="B48" s="498"/>
      <c r="C48" s="498"/>
      <c r="D48" s="498"/>
      <c r="E48" s="498"/>
      <c r="F48" s="498"/>
      <c r="G48" s="498"/>
      <c r="H48" s="498"/>
      <c r="I48" s="498"/>
      <c r="J48" s="498"/>
      <c r="K48" s="498"/>
      <c r="L48" s="498"/>
      <c r="M48" s="498"/>
      <c r="N48" s="498"/>
      <c r="O48" s="498"/>
      <c r="P48" s="498"/>
      <c r="Q48" s="498"/>
      <c r="R48" s="498"/>
      <c r="S48" s="498"/>
      <c r="T48" s="498"/>
      <c r="U48" s="498"/>
      <c r="V48" s="498"/>
      <c r="W48" s="498"/>
      <c r="X48" s="498"/>
      <c r="Y48" s="498"/>
      <c r="Z48" s="498"/>
      <c r="AA48" s="498"/>
      <c r="AB48" s="498"/>
      <c r="AC48" s="498"/>
      <c r="AD48" s="498"/>
      <c r="AE48" s="498"/>
      <c r="AF48" s="498"/>
      <c r="AG48" s="498"/>
      <c r="AH48" s="498"/>
      <c r="AI48" s="498"/>
      <c r="AJ48" s="498"/>
      <c r="AK48" s="498"/>
      <c r="AL48" s="498"/>
      <c r="AM48" s="498"/>
      <c r="AN48" s="498"/>
      <c r="AO48" s="498"/>
      <c r="AP48" s="498"/>
      <c r="AQ48" s="498"/>
      <c r="AR48" s="498"/>
      <c r="AS48" s="498"/>
      <c r="AT48" s="498"/>
      <c r="AU48" s="498"/>
      <c r="AV48" s="498"/>
      <c r="AW48" s="498"/>
      <c r="AX48" s="498"/>
      <c r="AY48" s="498"/>
      <c r="AZ48" s="498"/>
      <c r="BA48" s="498"/>
      <c r="BB48" s="498"/>
      <c r="BC48" s="498"/>
      <c r="BD48" s="498"/>
      <c r="BE48" s="499"/>
    </row>
    <row r="49" spans="1:57" ht="20.25" customHeight="1">
      <c r="A49" s="500"/>
      <c r="B49" s="501"/>
      <c r="C49" s="501"/>
      <c r="D49" s="501"/>
      <c r="E49" s="501"/>
      <c r="F49" s="501"/>
      <c r="G49" s="501"/>
      <c r="H49" s="501"/>
      <c r="I49" s="501"/>
      <c r="J49" s="501"/>
      <c r="K49" s="501"/>
      <c r="L49" s="501"/>
      <c r="M49" s="501"/>
      <c r="N49" s="501"/>
      <c r="O49" s="501"/>
      <c r="P49" s="501"/>
      <c r="Q49" s="501"/>
      <c r="R49" s="501"/>
      <c r="S49" s="501"/>
      <c r="T49" s="501"/>
      <c r="U49" s="501"/>
      <c r="V49" s="501"/>
      <c r="W49" s="501"/>
      <c r="X49" s="501"/>
      <c r="Y49" s="501"/>
      <c r="Z49" s="501"/>
      <c r="AA49" s="501"/>
      <c r="AB49" s="501"/>
      <c r="AC49" s="501"/>
      <c r="AD49" s="501"/>
      <c r="AE49" s="501"/>
      <c r="AF49" s="501"/>
      <c r="AG49" s="501"/>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2"/>
    </row>
    <row r="50" spans="1:57" ht="20.25" customHeight="1">
      <c r="A50" s="500"/>
      <c r="B50" s="501"/>
      <c r="C50" s="501"/>
      <c r="D50" s="501"/>
      <c r="E50" s="501"/>
      <c r="F50" s="501"/>
      <c r="G50" s="501"/>
      <c r="H50" s="501"/>
      <c r="I50" s="501"/>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2"/>
    </row>
    <row r="51" spans="1:57" ht="20.25" customHeight="1">
      <c r="A51" s="500"/>
      <c r="B51" s="501"/>
      <c r="C51" s="501"/>
      <c r="D51" s="501"/>
      <c r="E51" s="501"/>
      <c r="F51" s="501"/>
      <c r="G51" s="501"/>
      <c r="H51" s="501"/>
      <c r="I51" s="501"/>
      <c r="J51" s="501"/>
      <c r="K51" s="501"/>
      <c r="L51" s="501"/>
      <c r="M51" s="501"/>
      <c r="N51" s="501"/>
      <c r="O51" s="501"/>
      <c r="P51" s="501"/>
      <c r="Q51" s="501"/>
      <c r="R51" s="501"/>
      <c r="S51" s="501"/>
      <c r="T51" s="501"/>
      <c r="U51" s="501"/>
      <c r="V51" s="501"/>
      <c r="W51" s="501"/>
      <c r="X51" s="501"/>
      <c r="Y51" s="501"/>
      <c r="Z51" s="501"/>
      <c r="AA51" s="501"/>
      <c r="AB51" s="501"/>
      <c r="AC51" s="501"/>
      <c r="AD51" s="501"/>
      <c r="AE51" s="501"/>
      <c r="AF51" s="501"/>
      <c r="AG51" s="501"/>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2"/>
    </row>
    <row r="52" spans="1:57" ht="20.25" customHeight="1">
      <c r="A52" s="500"/>
      <c r="B52" s="501"/>
      <c r="C52" s="501"/>
      <c r="D52" s="501"/>
      <c r="E52" s="501"/>
      <c r="F52" s="501"/>
      <c r="G52" s="501"/>
      <c r="H52" s="501"/>
      <c r="I52" s="501"/>
      <c r="J52" s="501"/>
      <c r="K52" s="501"/>
      <c r="L52" s="501"/>
      <c r="M52" s="501"/>
      <c r="N52" s="501"/>
      <c r="O52" s="501"/>
      <c r="P52" s="501"/>
      <c r="Q52" s="501"/>
      <c r="R52" s="501"/>
      <c r="S52" s="501"/>
      <c r="T52" s="501"/>
      <c r="U52" s="501"/>
      <c r="V52" s="501"/>
      <c r="W52" s="501"/>
      <c r="X52" s="501"/>
      <c r="Y52" s="501"/>
      <c r="Z52" s="501"/>
      <c r="AA52" s="501"/>
      <c r="AB52" s="501"/>
      <c r="AC52" s="501"/>
      <c r="AD52" s="501"/>
      <c r="AE52" s="501"/>
      <c r="AF52" s="501"/>
      <c r="AG52" s="501"/>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2"/>
    </row>
    <row r="53" spans="1:57" ht="7.35" customHeight="1">
      <c r="A53" s="500"/>
      <c r="B53" s="501"/>
      <c r="C53" s="501"/>
      <c r="D53" s="501"/>
      <c r="E53" s="501"/>
      <c r="F53" s="501"/>
      <c r="G53" s="501"/>
      <c r="H53" s="501"/>
      <c r="I53" s="501"/>
      <c r="J53" s="501"/>
      <c r="K53" s="501"/>
      <c r="L53" s="501"/>
      <c r="M53" s="501"/>
      <c r="N53" s="501"/>
      <c r="O53" s="501"/>
      <c r="P53" s="501"/>
      <c r="Q53" s="501"/>
      <c r="R53" s="501"/>
      <c r="S53" s="501"/>
      <c r="T53" s="501"/>
      <c r="U53" s="501"/>
      <c r="V53" s="501"/>
      <c r="W53" s="501"/>
      <c r="X53" s="501"/>
      <c r="Y53" s="501"/>
      <c r="Z53" s="501"/>
      <c r="AA53" s="501"/>
      <c r="AB53" s="501"/>
      <c r="AC53" s="501"/>
      <c r="AD53" s="501"/>
      <c r="AE53" s="501"/>
      <c r="AF53" s="501"/>
      <c r="AG53" s="501"/>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2"/>
    </row>
    <row r="54" spans="1:57" ht="7.35" customHeight="1">
      <c r="A54" s="500"/>
      <c r="B54" s="501"/>
      <c r="C54" s="501"/>
      <c r="D54" s="501"/>
      <c r="E54" s="501"/>
      <c r="F54" s="501"/>
      <c r="G54" s="501"/>
      <c r="H54" s="501"/>
      <c r="I54" s="501"/>
      <c r="J54" s="501"/>
      <c r="K54" s="501"/>
      <c r="L54" s="501"/>
      <c r="M54" s="501"/>
      <c r="N54" s="501"/>
      <c r="O54" s="501"/>
      <c r="P54" s="501"/>
      <c r="Q54" s="501"/>
      <c r="R54" s="501"/>
      <c r="S54" s="501"/>
      <c r="T54" s="501"/>
      <c r="U54" s="501"/>
      <c r="V54" s="501"/>
      <c r="W54" s="501"/>
      <c r="X54" s="501"/>
      <c r="Y54" s="501"/>
      <c r="Z54" s="501"/>
      <c r="AA54" s="501"/>
      <c r="AB54" s="501"/>
      <c r="AC54" s="501"/>
      <c r="AD54" s="501"/>
      <c r="AE54" s="501"/>
      <c r="AF54" s="501"/>
      <c r="AG54" s="501"/>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2"/>
    </row>
    <row r="55" spans="1:57" ht="7.35" customHeight="1">
      <c r="A55" s="500"/>
      <c r="B55" s="501"/>
      <c r="C55" s="501"/>
      <c r="D55" s="501"/>
      <c r="E55" s="501"/>
      <c r="F55" s="501"/>
      <c r="G55" s="501"/>
      <c r="H55" s="501"/>
      <c r="I55" s="501"/>
      <c r="J55" s="501"/>
      <c r="K55" s="501"/>
      <c r="L55" s="501"/>
      <c r="M55" s="501"/>
      <c r="N55" s="501"/>
      <c r="O55" s="501"/>
      <c r="P55" s="501"/>
      <c r="Q55" s="501"/>
      <c r="R55" s="501"/>
      <c r="S55" s="501"/>
      <c r="T55" s="501"/>
      <c r="U55" s="501"/>
      <c r="V55" s="501"/>
      <c r="W55" s="501"/>
      <c r="X55" s="501"/>
      <c r="Y55" s="501"/>
      <c r="Z55" s="501"/>
      <c r="AA55" s="501"/>
      <c r="AB55" s="501"/>
      <c r="AC55" s="501"/>
      <c r="AD55" s="501"/>
      <c r="AE55" s="501"/>
      <c r="AF55" s="501"/>
      <c r="AG55" s="501"/>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2"/>
    </row>
    <row r="56" spans="1:57" ht="7.35" customHeight="1">
      <c r="A56" s="500"/>
      <c r="B56" s="501"/>
      <c r="C56" s="501"/>
      <c r="D56" s="501"/>
      <c r="E56" s="501"/>
      <c r="F56" s="501"/>
      <c r="G56" s="501"/>
      <c r="H56" s="501"/>
      <c r="I56" s="501"/>
      <c r="J56" s="501"/>
      <c r="K56" s="501"/>
      <c r="L56" s="501"/>
      <c r="M56" s="501"/>
      <c r="N56" s="501"/>
      <c r="O56" s="501"/>
      <c r="P56" s="501"/>
      <c r="Q56" s="501"/>
      <c r="R56" s="501"/>
      <c r="S56" s="501"/>
      <c r="T56" s="501"/>
      <c r="U56" s="501"/>
      <c r="V56" s="501"/>
      <c r="W56" s="501"/>
      <c r="X56" s="501"/>
      <c r="Y56" s="501"/>
      <c r="Z56" s="501"/>
      <c r="AA56" s="501"/>
      <c r="AB56" s="501"/>
      <c r="AC56" s="501"/>
      <c r="AD56" s="501"/>
      <c r="AE56" s="501"/>
      <c r="AF56" s="501"/>
      <c r="AG56" s="501"/>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2"/>
    </row>
    <row r="57" spans="1:57" ht="20.25" customHeight="1">
      <c r="A57" s="500"/>
      <c r="B57" s="501"/>
      <c r="C57" s="501"/>
      <c r="D57" s="501"/>
      <c r="E57" s="501"/>
      <c r="F57" s="501"/>
      <c r="G57" s="501"/>
      <c r="H57" s="501"/>
      <c r="I57" s="501"/>
      <c r="J57" s="501"/>
      <c r="K57" s="501"/>
      <c r="L57" s="501"/>
      <c r="M57" s="501"/>
      <c r="N57" s="501"/>
      <c r="O57" s="501"/>
      <c r="P57" s="501"/>
      <c r="Q57" s="501"/>
      <c r="R57" s="501"/>
      <c r="S57" s="501"/>
      <c r="T57" s="501"/>
      <c r="U57" s="501"/>
      <c r="V57" s="501"/>
      <c r="W57" s="501"/>
      <c r="X57" s="501"/>
      <c r="Y57" s="501"/>
      <c r="Z57" s="501"/>
      <c r="AA57" s="501"/>
      <c r="AB57" s="501"/>
      <c r="AC57" s="501"/>
      <c r="AD57" s="501"/>
      <c r="AE57" s="501"/>
      <c r="AF57" s="501"/>
      <c r="AG57" s="501"/>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2"/>
    </row>
    <row r="58" spans="1:57" ht="20.25" customHeight="1">
      <c r="A58" s="500"/>
      <c r="B58" s="501"/>
      <c r="C58" s="501"/>
      <c r="D58" s="501"/>
      <c r="E58" s="501"/>
      <c r="F58" s="501"/>
      <c r="G58" s="501"/>
      <c r="H58" s="501"/>
      <c r="I58" s="501"/>
      <c r="J58" s="501"/>
      <c r="K58" s="501"/>
      <c r="L58" s="501"/>
      <c r="M58" s="501"/>
      <c r="N58" s="501"/>
      <c r="O58" s="501"/>
      <c r="P58" s="501"/>
      <c r="Q58" s="501"/>
      <c r="R58" s="501"/>
      <c r="S58" s="501"/>
      <c r="T58" s="501"/>
      <c r="U58" s="501"/>
      <c r="V58" s="501"/>
      <c r="W58" s="501"/>
      <c r="X58" s="501"/>
      <c r="Y58" s="501"/>
      <c r="Z58" s="501"/>
      <c r="AA58" s="501"/>
      <c r="AB58" s="501"/>
      <c r="AC58" s="501"/>
      <c r="AD58" s="501"/>
      <c r="AE58" s="501"/>
      <c r="AF58" s="501"/>
      <c r="AG58" s="501"/>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2"/>
    </row>
    <row r="59" spans="1:57" ht="20.25" customHeight="1">
      <c r="A59" s="500"/>
      <c r="B59" s="501"/>
      <c r="C59" s="501"/>
      <c r="D59" s="501"/>
      <c r="E59" s="501"/>
      <c r="F59" s="501"/>
      <c r="G59" s="501"/>
      <c r="H59" s="501"/>
      <c r="I59" s="501"/>
      <c r="J59" s="501"/>
      <c r="K59" s="501"/>
      <c r="L59" s="501"/>
      <c r="M59" s="501"/>
      <c r="N59" s="501"/>
      <c r="O59" s="501"/>
      <c r="P59" s="501"/>
      <c r="Q59" s="501"/>
      <c r="R59" s="501"/>
      <c r="S59" s="501"/>
      <c r="T59" s="501"/>
      <c r="U59" s="501"/>
      <c r="V59" s="501"/>
      <c r="W59" s="501"/>
      <c r="X59" s="501"/>
      <c r="Y59" s="501"/>
      <c r="Z59" s="501"/>
      <c r="AA59" s="501"/>
      <c r="AB59" s="501"/>
      <c r="AC59" s="501"/>
      <c r="AD59" s="501"/>
      <c r="AE59" s="501"/>
      <c r="AF59" s="501"/>
      <c r="AG59" s="501"/>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2"/>
    </row>
    <row r="60" spans="1:57" ht="20.25" customHeight="1">
      <c r="A60" s="500"/>
      <c r="B60" s="501"/>
      <c r="C60" s="501"/>
      <c r="D60" s="501"/>
      <c r="E60" s="501"/>
      <c r="F60" s="501"/>
      <c r="G60" s="501"/>
      <c r="H60" s="501"/>
      <c r="I60" s="501"/>
      <c r="J60" s="501"/>
      <c r="K60" s="501"/>
      <c r="L60" s="501"/>
      <c r="M60" s="501"/>
      <c r="N60" s="501"/>
      <c r="O60" s="501"/>
      <c r="P60" s="501"/>
      <c r="Q60" s="501"/>
      <c r="R60" s="501"/>
      <c r="S60" s="501"/>
      <c r="T60" s="501"/>
      <c r="U60" s="501"/>
      <c r="V60" s="501"/>
      <c r="W60" s="501"/>
      <c r="X60" s="501"/>
      <c r="Y60" s="501"/>
      <c r="Z60" s="501"/>
      <c r="AA60" s="501"/>
      <c r="AB60" s="501"/>
      <c r="AC60" s="501"/>
      <c r="AD60" s="501"/>
      <c r="AE60" s="501"/>
      <c r="AF60" s="501"/>
      <c r="AG60" s="501"/>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2"/>
    </row>
    <row r="61" spans="1:57" ht="20.25" customHeight="1">
      <c r="A61" s="500"/>
      <c r="B61" s="501"/>
      <c r="C61" s="501"/>
      <c r="D61" s="501"/>
      <c r="E61" s="501"/>
      <c r="F61" s="501"/>
      <c r="G61" s="501"/>
      <c r="H61" s="501"/>
      <c r="I61" s="501"/>
      <c r="J61" s="501"/>
      <c r="K61" s="501"/>
      <c r="L61" s="501"/>
      <c r="M61" s="501"/>
      <c r="N61" s="501"/>
      <c r="O61" s="501"/>
      <c r="P61" s="501"/>
      <c r="Q61" s="501"/>
      <c r="R61" s="501"/>
      <c r="S61" s="501"/>
      <c r="T61" s="501"/>
      <c r="U61" s="501"/>
      <c r="V61" s="501"/>
      <c r="W61" s="501"/>
      <c r="X61" s="501"/>
      <c r="Y61" s="501"/>
      <c r="Z61" s="501"/>
      <c r="AA61" s="501"/>
      <c r="AB61" s="501"/>
      <c r="AC61" s="501"/>
      <c r="AD61" s="501"/>
      <c r="AE61" s="501"/>
      <c r="AF61" s="501"/>
      <c r="AG61" s="501"/>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2"/>
    </row>
    <row r="62" spans="1:57" ht="20.25" customHeight="1">
      <c r="A62" s="500"/>
      <c r="B62" s="501"/>
      <c r="C62" s="501"/>
      <c r="D62" s="501"/>
      <c r="E62" s="501"/>
      <c r="F62" s="501"/>
      <c r="G62" s="501"/>
      <c r="H62" s="501"/>
      <c r="I62" s="501"/>
      <c r="J62" s="501"/>
      <c r="K62" s="501"/>
      <c r="L62" s="501"/>
      <c r="M62" s="501"/>
      <c r="N62" s="501"/>
      <c r="O62" s="501"/>
      <c r="P62" s="501"/>
      <c r="Q62" s="501"/>
      <c r="R62" s="501"/>
      <c r="S62" s="501"/>
      <c r="T62" s="501"/>
      <c r="U62" s="501"/>
      <c r="V62" s="501"/>
      <c r="W62" s="501"/>
      <c r="X62" s="501"/>
      <c r="Y62" s="501"/>
      <c r="Z62" s="501"/>
      <c r="AA62" s="501"/>
      <c r="AB62" s="501"/>
      <c r="AC62" s="501"/>
      <c r="AD62" s="501"/>
      <c r="AE62" s="501"/>
      <c r="AF62" s="501"/>
      <c r="AG62" s="501"/>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2"/>
    </row>
    <row r="63" spans="1:57" ht="15.9" customHeight="1">
      <c r="A63" s="500"/>
      <c r="B63" s="501"/>
      <c r="C63" s="501"/>
      <c r="D63" s="501"/>
      <c r="E63" s="501"/>
      <c r="F63" s="501"/>
      <c r="G63" s="501"/>
      <c r="H63" s="501"/>
      <c r="I63" s="501"/>
      <c r="J63" s="501"/>
      <c r="K63" s="501"/>
      <c r="L63" s="501"/>
      <c r="M63" s="501"/>
      <c r="N63" s="501"/>
      <c r="O63" s="501"/>
      <c r="P63" s="501"/>
      <c r="Q63" s="501"/>
      <c r="R63" s="501"/>
      <c r="S63" s="501"/>
      <c r="T63" s="501"/>
      <c r="U63" s="501"/>
      <c r="V63" s="501"/>
      <c r="W63" s="501"/>
      <c r="X63" s="501"/>
      <c r="Y63" s="501"/>
      <c r="Z63" s="501"/>
      <c r="AA63" s="501"/>
      <c r="AB63" s="501"/>
      <c r="AC63" s="501"/>
      <c r="AD63" s="501"/>
      <c r="AE63" s="501"/>
      <c r="AF63" s="501"/>
      <c r="AG63" s="501"/>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2"/>
    </row>
    <row r="64" spans="1:57" ht="9.9" customHeight="1" thickBot="1">
      <c r="A64" s="503"/>
      <c r="B64" s="504"/>
      <c r="C64" s="504"/>
      <c r="D64" s="504"/>
      <c r="E64" s="504"/>
      <c r="F64" s="504"/>
      <c r="G64" s="504"/>
      <c r="H64" s="504"/>
      <c r="I64" s="504"/>
      <c r="J64" s="504"/>
      <c r="K64" s="504"/>
      <c r="L64" s="504"/>
      <c r="M64" s="504"/>
      <c r="N64" s="504"/>
      <c r="O64" s="504"/>
      <c r="P64" s="504"/>
      <c r="Q64" s="504"/>
      <c r="R64" s="504"/>
      <c r="S64" s="504"/>
      <c r="T64" s="504"/>
      <c r="U64" s="504"/>
      <c r="V64" s="504"/>
      <c r="W64" s="504"/>
      <c r="X64" s="504"/>
      <c r="Y64" s="504"/>
      <c r="Z64" s="504"/>
      <c r="AA64" s="504"/>
      <c r="AB64" s="504"/>
      <c r="AC64" s="504"/>
      <c r="AD64" s="504"/>
      <c r="AE64" s="504"/>
      <c r="AF64" s="504"/>
      <c r="AG64" s="504"/>
      <c r="AH64" s="504"/>
      <c r="AI64" s="504"/>
      <c r="AJ64" s="504"/>
      <c r="AK64" s="504"/>
      <c r="AL64" s="504"/>
      <c r="AM64" s="504"/>
      <c r="AN64" s="504"/>
      <c r="AO64" s="504"/>
      <c r="AP64" s="504"/>
      <c r="AQ64" s="504"/>
      <c r="AR64" s="504"/>
      <c r="AS64" s="504"/>
      <c r="AT64" s="504"/>
      <c r="AU64" s="504"/>
      <c r="AV64" s="504"/>
      <c r="AW64" s="504"/>
      <c r="AX64" s="504"/>
      <c r="AY64" s="504"/>
      <c r="AZ64" s="504"/>
      <c r="BA64" s="504"/>
      <c r="BB64" s="504"/>
      <c r="BC64" s="504"/>
      <c r="BD64" s="504"/>
      <c r="BE64" s="505"/>
    </row>
    <row r="65" spans="1:105" s="42" customFormat="1" ht="10.35" customHeight="1">
      <c r="D65" s="41"/>
      <c r="E65" s="41"/>
      <c r="F65" s="41"/>
      <c r="G65" s="41"/>
      <c r="H65" s="41"/>
      <c r="I65" s="41"/>
      <c r="J65" s="41"/>
      <c r="K65" s="41"/>
      <c r="L65" s="41"/>
      <c r="M65" s="41"/>
      <c r="N65" s="41"/>
      <c r="O65" s="41"/>
      <c r="P65" s="41"/>
      <c r="Q65" s="41"/>
      <c r="R65" s="41"/>
      <c r="T65" s="41"/>
      <c r="U65" s="41"/>
      <c r="V65" s="41"/>
      <c r="W65" s="41"/>
      <c r="X65" s="41"/>
      <c r="Y65" s="41"/>
      <c r="Z65" s="40"/>
      <c r="AB65" s="41"/>
      <c r="AC65" s="41"/>
      <c r="AD65" s="41"/>
      <c r="AE65" s="41"/>
      <c r="AF65" s="41"/>
      <c r="BC65" s="41"/>
    </row>
    <row r="66" spans="1:105" ht="12" customHeight="1" thickBot="1">
      <c r="AN66" s="71"/>
      <c r="AO66" s="71"/>
      <c r="AP66" s="71"/>
      <c r="AQ66" s="71"/>
      <c r="AR66" s="71"/>
      <c r="AS66" s="71"/>
      <c r="AT66" s="71"/>
      <c r="AU66" s="71"/>
      <c r="AV66" s="71"/>
      <c r="AW66" s="71"/>
      <c r="AX66" s="71"/>
      <c r="AY66" s="71"/>
      <c r="AZ66" s="71"/>
      <c r="BA66" s="71"/>
      <c r="BB66" s="71"/>
      <c r="BC66" s="71"/>
      <c r="BD66" s="71"/>
      <c r="BE66" s="71"/>
    </row>
    <row r="67" spans="1:105" ht="27.75" customHeight="1" thickBot="1">
      <c r="A67" s="667" t="s">
        <v>10</v>
      </c>
      <c r="B67" s="668"/>
      <c r="C67" s="668"/>
      <c r="D67" s="669" t="str">
        <f ca="1">D2</f>
        <v>○号</v>
      </c>
      <c r="E67" s="670"/>
      <c r="F67" s="670"/>
      <c r="G67" s="670"/>
      <c r="H67" s="671"/>
      <c r="AN67"/>
      <c r="AO67"/>
      <c r="AP67"/>
      <c r="AQ67"/>
      <c r="AR67"/>
      <c r="AS67"/>
      <c r="AT67"/>
      <c r="AU67"/>
      <c r="AV67"/>
      <c r="AW67"/>
      <c r="AX67"/>
      <c r="AY67"/>
      <c r="AZ67"/>
      <c r="BA67"/>
      <c r="BB67"/>
      <c r="BC67"/>
      <c r="BD67"/>
      <c r="BE67"/>
    </row>
    <row r="68" spans="1:105" ht="20.25" customHeight="1">
      <c r="A68" s="47" t="s">
        <v>246</v>
      </c>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row>
    <row r="69" spans="1:105" ht="12" customHeight="1" thickBot="1">
      <c r="A69" s="231"/>
      <c r="B69" s="232"/>
      <c r="C69" s="232"/>
      <c r="D69" s="232"/>
      <c r="E69" s="232"/>
      <c r="F69" s="232"/>
      <c r="G69" s="232"/>
      <c r="H69" s="232"/>
      <c r="I69" s="232"/>
      <c r="J69" s="232"/>
      <c r="K69" s="232"/>
      <c r="L69" s="232"/>
      <c r="M69" s="232"/>
      <c r="N69" s="232"/>
      <c r="O69" s="232"/>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row>
    <row r="70" spans="1:105" s="42" customFormat="1" ht="20.25" customHeight="1" thickBot="1">
      <c r="A70" s="672" t="s">
        <v>60</v>
      </c>
      <c r="B70" s="673"/>
      <c r="C70" s="673"/>
      <c r="D70" s="673" t="s">
        <v>46</v>
      </c>
      <c r="E70" s="673"/>
      <c r="F70" s="673"/>
      <c r="G70" s="673" t="s">
        <v>11</v>
      </c>
      <c r="H70" s="673"/>
      <c r="I70" s="673"/>
      <c r="J70" s="673" t="s">
        <v>13</v>
      </c>
      <c r="K70" s="673"/>
      <c r="L70" s="673"/>
      <c r="M70" s="673" t="s">
        <v>47</v>
      </c>
      <c r="N70" s="673"/>
      <c r="O70" s="673"/>
      <c r="P70" s="442" t="s">
        <v>48</v>
      </c>
      <c r="Q70" s="442"/>
      <c r="R70" s="442"/>
      <c r="S70" s="442" t="s">
        <v>51</v>
      </c>
      <c r="T70" s="442"/>
      <c r="U70" s="442"/>
      <c r="V70" s="442" t="s">
        <v>52</v>
      </c>
      <c r="W70" s="442"/>
      <c r="X70" s="442"/>
      <c r="Y70" s="442" t="s">
        <v>50</v>
      </c>
      <c r="Z70" s="442"/>
      <c r="AA70" s="576"/>
      <c r="AB70" s="184"/>
      <c r="AC70" s="639" t="s">
        <v>56</v>
      </c>
      <c r="AD70" s="639"/>
      <c r="AE70" s="639"/>
      <c r="AF70" s="639"/>
      <c r="AG70" s="640"/>
      <c r="AH70" s="641" t="s">
        <v>152</v>
      </c>
      <c r="AI70" s="642"/>
      <c r="AJ70" s="642"/>
      <c r="AK70" s="642"/>
      <c r="AM70" s="645" t="s">
        <v>46</v>
      </c>
      <c r="AN70" s="405" t="s">
        <v>63</v>
      </c>
      <c r="AO70" s="406"/>
      <c r="AP70" s="555"/>
      <c r="AQ70" s="517"/>
      <c r="AR70" s="517"/>
      <c r="AS70" s="674"/>
      <c r="AV70" s="601" t="s">
        <v>20</v>
      </c>
      <c r="AW70" s="405" t="s">
        <v>108</v>
      </c>
      <c r="AX70" s="406"/>
      <c r="AY70" s="555"/>
      <c r="AZ70" s="604"/>
      <c r="BA70" s="605"/>
      <c r="BB70" s="606"/>
    </row>
    <row r="71" spans="1:105" s="42" customFormat="1" ht="20.25" customHeight="1">
      <c r="A71" s="306" t="s">
        <v>149</v>
      </c>
      <c r="B71" s="307"/>
      <c r="C71" s="307"/>
      <c r="D71" s="599" t="str">
        <f>IF(D72+D73=0,"",D72+D73)</f>
        <v/>
      </c>
      <c r="E71" s="599"/>
      <c r="F71" s="599"/>
      <c r="G71" s="599" t="str">
        <f>IF(G72+G73=0,"",G72+G73)</f>
        <v/>
      </c>
      <c r="H71" s="599"/>
      <c r="I71" s="599"/>
      <c r="J71" s="599" t="str">
        <f>IF(J72+J73=0,"",J72+J73)</f>
        <v/>
      </c>
      <c r="K71" s="599"/>
      <c r="L71" s="599"/>
      <c r="M71" s="599" t="str">
        <f>IF(M72+M73=0,"",M72+M73)</f>
        <v/>
      </c>
      <c r="N71" s="599"/>
      <c r="O71" s="599"/>
      <c r="P71" s="599" t="str">
        <f>IF(P72+P73=0,"",P72+P73)</f>
        <v/>
      </c>
      <c r="Q71" s="599"/>
      <c r="R71" s="599"/>
      <c r="S71" s="307"/>
      <c r="T71" s="307"/>
      <c r="U71" s="307"/>
      <c r="V71" s="307"/>
      <c r="W71" s="307"/>
      <c r="X71" s="307"/>
      <c r="Y71" s="599" t="str">
        <f>IF(SUM(D71:X71)=0,"",SUM(D71:X71))</f>
        <v/>
      </c>
      <c r="Z71" s="599"/>
      <c r="AA71" s="600"/>
      <c r="AB71" s="184"/>
      <c r="AC71" s="652" t="s">
        <v>53</v>
      </c>
      <c r="AD71" s="653"/>
      <c r="AE71" s="654"/>
      <c r="AF71" s="655"/>
      <c r="AG71" s="656"/>
      <c r="AH71" s="643"/>
      <c r="AI71" s="644"/>
      <c r="AJ71" s="644"/>
      <c r="AK71" s="644"/>
      <c r="AM71" s="646"/>
      <c r="AN71" s="371" t="s">
        <v>64</v>
      </c>
      <c r="AO71" s="372"/>
      <c r="AP71" s="412"/>
      <c r="AQ71" s="402"/>
      <c r="AR71" s="402"/>
      <c r="AS71" s="410"/>
      <c r="AV71" s="602"/>
      <c r="AW71" s="345" t="s">
        <v>86</v>
      </c>
      <c r="AX71" s="346"/>
      <c r="AY71" s="347"/>
      <c r="AZ71" s="560"/>
      <c r="BA71" s="561"/>
      <c r="BB71" s="563"/>
    </row>
    <row r="72" spans="1:105" s="42" customFormat="1" ht="20.25" customHeight="1" thickBot="1">
      <c r="A72" s="306" t="s">
        <v>91</v>
      </c>
      <c r="B72" s="307"/>
      <c r="C72" s="307"/>
      <c r="D72" s="581"/>
      <c r="E72" s="581"/>
      <c r="F72" s="581"/>
      <c r="G72" s="581"/>
      <c r="H72" s="581"/>
      <c r="I72" s="581"/>
      <c r="J72" s="581"/>
      <c r="K72" s="581"/>
      <c r="L72" s="581"/>
      <c r="M72" s="581"/>
      <c r="N72" s="581"/>
      <c r="O72" s="581"/>
      <c r="P72" s="581"/>
      <c r="Q72" s="581"/>
      <c r="R72" s="581"/>
      <c r="S72" s="307"/>
      <c r="T72" s="307"/>
      <c r="U72" s="307"/>
      <c r="V72" s="307"/>
      <c r="W72" s="307"/>
      <c r="X72" s="307"/>
      <c r="Y72" s="599" t="str">
        <f>IF(SUM(D72:X72)=0,"",SUM(D72:X72))</f>
        <v/>
      </c>
      <c r="Z72" s="599"/>
      <c r="AA72" s="600"/>
      <c r="AB72" s="184"/>
      <c r="AC72" s="649" t="s">
        <v>54</v>
      </c>
      <c r="AD72" s="306"/>
      <c r="AE72" s="583"/>
      <c r="AF72" s="650"/>
      <c r="AG72" s="651"/>
      <c r="AH72" s="585"/>
      <c r="AI72" s="633"/>
      <c r="AJ72" s="633"/>
      <c r="AK72" s="633"/>
      <c r="AM72" s="646"/>
      <c r="AN72" s="371" t="s">
        <v>65</v>
      </c>
      <c r="AO72" s="372"/>
      <c r="AP72" s="412"/>
      <c r="AQ72" s="402"/>
      <c r="AR72" s="402"/>
      <c r="AS72" s="410"/>
      <c r="AV72" s="602"/>
      <c r="AW72" s="345" t="s">
        <v>241</v>
      </c>
      <c r="AX72" s="346"/>
      <c r="AY72" s="347"/>
      <c r="AZ72" s="560"/>
      <c r="BA72" s="561"/>
      <c r="BB72" s="563"/>
    </row>
    <row r="73" spans="1:105" s="42" customFormat="1" ht="20.25" customHeight="1" thickBot="1">
      <c r="A73" s="306" t="s">
        <v>49</v>
      </c>
      <c r="B73" s="307"/>
      <c r="C73" s="307"/>
      <c r="D73" s="581"/>
      <c r="E73" s="581"/>
      <c r="F73" s="581"/>
      <c r="G73" s="581"/>
      <c r="H73" s="581"/>
      <c r="I73" s="581"/>
      <c r="J73" s="581"/>
      <c r="K73" s="581"/>
      <c r="L73" s="581"/>
      <c r="M73" s="581"/>
      <c r="N73" s="581"/>
      <c r="O73" s="581"/>
      <c r="P73" s="581"/>
      <c r="Q73" s="581"/>
      <c r="R73" s="581"/>
      <c r="S73" s="307"/>
      <c r="T73" s="307"/>
      <c r="U73" s="307"/>
      <c r="V73" s="307"/>
      <c r="W73" s="307"/>
      <c r="X73" s="307"/>
      <c r="Y73" s="599" t="str">
        <f>IF(SUM(D73:X73)=0,"",SUM(D73:X73))</f>
        <v/>
      </c>
      <c r="Z73" s="599"/>
      <c r="AA73" s="600"/>
      <c r="AC73" s="628" t="s">
        <v>55</v>
      </c>
      <c r="AD73" s="629"/>
      <c r="AE73" s="630"/>
      <c r="AF73" s="631"/>
      <c r="AG73" s="632"/>
      <c r="AH73" s="634"/>
      <c r="AI73" s="635"/>
      <c r="AJ73" s="635"/>
      <c r="AK73" s="635"/>
      <c r="AM73" s="646"/>
      <c r="AN73" s="371" t="s">
        <v>66</v>
      </c>
      <c r="AO73" s="372"/>
      <c r="AP73" s="412"/>
      <c r="AQ73" s="402"/>
      <c r="AR73" s="402"/>
      <c r="AS73" s="410"/>
      <c r="AV73" s="602"/>
      <c r="AW73" s="345" t="s">
        <v>85</v>
      </c>
      <c r="AX73" s="346"/>
      <c r="AY73" s="347"/>
      <c r="AZ73" s="560"/>
      <c r="BA73" s="561"/>
      <c r="BB73" s="563"/>
    </row>
    <row r="74" spans="1:105" s="42" customFormat="1" ht="20.25" customHeight="1" thickBot="1">
      <c r="A74" s="306" t="s">
        <v>148</v>
      </c>
      <c r="B74" s="307"/>
      <c r="C74" s="307"/>
      <c r="D74" s="581"/>
      <c r="E74" s="581"/>
      <c r="F74" s="581"/>
      <c r="G74" s="581"/>
      <c r="H74" s="581"/>
      <c r="I74" s="581"/>
      <c r="J74" s="581"/>
      <c r="K74" s="581"/>
      <c r="L74" s="581"/>
      <c r="M74" s="581"/>
      <c r="N74" s="581"/>
      <c r="O74" s="581"/>
      <c r="P74" s="581"/>
      <c r="Q74" s="581"/>
      <c r="R74" s="581"/>
      <c r="S74" s="599">
        <f>IF(SUM(D7:BE7)=0,0,SUM(D7:BE7))</f>
        <v>0</v>
      </c>
      <c r="T74" s="599"/>
      <c r="U74" s="599"/>
      <c r="V74" s="307"/>
      <c r="W74" s="307"/>
      <c r="X74" s="307"/>
      <c r="Y74" s="599" t="str">
        <f>IF(SUM(D74:X74)=0,"",SUM(D74:X74))</f>
        <v/>
      </c>
      <c r="Z74" s="599"/>
      <c r="AA74" s="600"/>
      <c r="AB74" s="185"/>
      <c r="AC74" s="607" t="s">
        <v>78</v>
      </c>
      <c r="AD74" s="607"/>
      <c r="AE74" s="607"/>
      <c r="AF74" s="607"/>
      <c r="AG74" s="608"/>
      <c r="AH74" s="634"/>
      <c r="AI74" s="635"/>
      <c r="AJ74" s="635"/>
      <c r="AK74" s="635"/>
      <c r="AM74" s="646"/>
      <c r="AN74" s="371" t="s">
        <v>146</v>
      </c>
      <c r="AO74" s="372"/>
      <c r="AP74" s="412"/>
      <c r="AQ74" s="402"/>
      <c r="AR74" s="402"/>
      <c r="AS74" s="410"/>
      <c r="AV74" s="602"/>
      <c r="AW74" s="636" t="s">
        <v>87</v>
      </c>
      <c r="AX74" s="637"/>
      <c r="AY74" s="638"/>
      <c r="AZ74" s="560"/>
      <c r="BA74" s="561"/>
      <c r="BB74" s="563"/>
    </row>
    <row r="75" spans="1:105" s="42" customFormat="1" ht="20.25" customHeight="1" thickBot="1">
      <c r="A75" s="314" t="s">
        <v>212</v>
      </c>
      <c r="B75" s="315"/>
      <c r="C75" s="316"/>
      <c r="D75" s="577" t="str">
        <f>IF(D73=0,"",D73/D71)</f>
        <v/>
      </c>
      <c r="E75" s="578"/>
      <c r="F75" s="609"/>
      <c r="G75" s="577" t="str">
        <f>IF(G73=0,"",G73/G71)</f>
        <v/>
      </c>
      <c r="H75" s="578"/>
      <c r="I75" s="609"/>
      <c r="J75" s="577" t="str">
        <f>IF(J73=0,"",J73/J71)</f>
        <v/>
      </c>
      <c r="K75" s="578"/>
      <c r="L75" s="609"/>
      <c r="M75" s="577" t="str">
        <f>IF(M73=0,"",M73/M71)</f>
        <v/>
      </c>
      <c r="N75" s="578"/>
      <c r="O75" s="609"/>
      <c r="P75" s="577" t="str">
        <f>IF(P73=0,"",P73/P71)</f>
        <v/>
      </c>
      <c r="Q75" s="578"/>
      <c r="R75" s="609"/>
      <c r="S75" s="308"/>
      <c r="T75" s="315"/>
      <c r="U75" s="316"/>
      <c r="V75" s="308"/>
      <c r="W75" s="315"/>
      <c r="X75" s="316"/>
      <c r="Y75" s="577" t="str">
        <f>IF(Y73="","",Y73/Y71)</f>
        <v/>
      </c>
      <c r="Z75" s="578"/>
      <c r="AA75" s="579"/>
      <c r="AB75" s="185"/>
      <c r="AC75" s="610"/>
      <c r="AD75" s="610"/>
      <c r="AE75" s="610"/>
      <c r="AF75" s="610"/>
      <c r="AG75" s="611"/>
      <c r="AH75" s="634"/>
      <c r="AI75" s="635"/>
      <c r="AJ75" s="635"/>
      <c r="AK75" s="635"/>
      <c r="AM75" s="647"/>
      <c r="AN75" s="529" t="s">
        <v>58</v>
      </c>
      <c r="AO75" s="530"/>
      <c r="AP75" s="531"/>
      <c r="AQ75" s="586"/>
      <c r="AR75" s="587"/>
      <c r="AS75" s="588"/>
      <c r="AV75" s="603"/>
      <c r="AW75" s="551" t="s">
        <v>151</v>
      </c>
      <c r="AX75" s="318"/>
      <c r="AY75" s="319"/>
      <c r="AZ75" s="595" t="str">
        <f>IF(AZ71="","",IF(AZ72="","",ROUND(AZ71/AZ72,2)))</f>
        <v/>
      </c>
      <c r="BA75" s="596"/>
      <c r="BB75" s="597"/>
    </row>
    <row r="76" spans="1:105" s="42" customFormat="1" ht="20.25" customHeight="1" thickBot="1">
      <c r="A76" s="314" t="s">
        <v>220</v>
      </c>
      <c r="B76" s="315"/>
      <c r="C76" s="316"/>
      <c r="D76" s="577" t="str">
        <f>IF(D71="","",IF(D74=0,"",D74/D71))</f>
        <v/>
      </c>
      <c r="E76" s="578"/>
      <c r="F76" s="609"/>
      <c r="G76" s="577" t="str">
        <f>IF(G71="","",IF(G74=0,"",G74/G71))</f>
        <v/>
      </c>
      <c r="H76" s="578"/>
      <c r="I76" s="609"/>
      <c r="J76" s="577" t="str">
        <f>IF(J71="","",IF(J74=0,"",J74/J71))</f>
        <v/>
      </c>
      <c r="K76" s="578"/>
      <c r="L76" s="609"/>
      <c r="M76" s="577" t="str">
        <f>IF(M71="","",IF(M74=0,"",M74/M71))</f>
        <v/>
      </c>
      <c r="N76" s="578"/>
      <c r="O76" s="609"/>
      <c r="P76" s="577" t="str">
        <f>IF(P71="","",IF(P74=0,"",P74/P71))</f>
        <v/>
      </c>
      <c r="Q76" s="578"/>
      <c r="R76" s="609"/>
      <c r="S76" s="308"/>
      <c r="T76" s="315"/>
      <c r="U76" s="316"/>
      <c r="V76" s="308"/>
      <c r="W76" s="315"/>
      <c r="X76" s="316"/>
      <c r="Y76" s="577" t="str">
        <f>IF(Y71="","",IF(Y74="","",Y74/Y71))</f>
        <v/>
      </c>
      <c r="Z76" s="578"/>
      <c r="AA76" s="579"/>
      <c r="AB76" s="183"/>
      <c r="AC76" s="612"/>
      <c r="AD76" s="612"/>
      <c r="AE76" s="612"/>
      <c r="AF76" s="612"/>
      <c r="AG76" s="613"/>
      <c r="AH76" s="634"/>
      <c r="AI76" s="635"/>
      <c r="AJ76" s="635"/>
      <c r="AK76" s="635"/>
      <c r="AM76" s="647"/>
      <c r="AN76" s="614"/>
      <c r="AO76" s="615"/>
      <c r="AP76" s="616"/>
      <c r="AQ76" s="589"/>
      <c r="AR76" s="590"/>
      <c r="AS76" s="591"/>
    </row>
    <row r="77" spans="1:105" s="42" customFormat="1" ht="20.25" customHeight="1" thickBot="1">
      <c r="A77" s="306" t="s">
        <v>222</v>
      </c>
      <c r="B77" s="307"/>
      <c r="C77" s="307"/>
      <c r="D77" s="308"/>
      <c r="E77" s="315"/>
      <c r="F77" s="316"/>
      <c r="G77" s="308"/>
      <c r="H77" s="315"/>
      <c r="I77" s="316"/>
      <c r="J77" s="308"/>
      <c r="K77" s="315"/>
      <c r="L77" s="316"/>
      <c r="M77" s="308"/>
      <c r="N77" s="315"/>
      <c r="O77" s="316"/>
      <c r="P77" s="308"/>
      <c r="Q77" s="315"/>
      <c r="R77" s="316"/>
      <c r="S77" s="307"/>
      <c r="T77" s="307"/>
      <c r="U77" s="307"/>
      <c r="V77" s="599">
        <f>IF(AB94="",0,IF(AB95="",0,ROUND(AB94*AB95/30,1)))</f>
        <v>0</v>
      </c>
      <c r="W77" s="599"/>
      <c r="X77" s="599"/>
      <c r="Y77" s="599">
        <f>V77</f>
        <v>0</v>
      </c>
      <c r="Z77" s="599"/>
      <c r="AA77" s="600"/>
      <c r="AB77" s="183"/>
      <c r="AC77" s="612"/>
      <c r="AD77" s="612"/>
      <c r="AE77" s="612"/>
      <c r="AF77" s="612"/>
      <c r="AG77" s="613"/>
      <c r="AH77" s="634"/>
      <c r="AI77" s="635"/>
      <c r="AJ77" s="635"/>
      <c r="AK77" s="635"/>
      <c r="AM77" s="648"/>
      <c r="AN77" s="617"/>
      <c r="AO77" s="618"/>
      <c r="AP77" s="619"/>
      <c r="AQ77" s="592"/>
      <c r="AR77" s="593"/>
      <c r="AS77" s="594"/>
      <c r="AV77" s="573" t="s">
        <v>223</v>
      </c>
      <c r="AW77" s="442" t="s">
        <v>69</v>
      </c>
      <c r="AX77" s="442"/>
      <c r="AY77" s="442"/>
      <c r="AZ77" s="442" t="s">
        <v>224</v>
      </c>
      <c r="BA77" s="442"/>
      <c r="BB77" s="442"/>
      <c r="BC77" s="442" t="s">
        <v>225</v>
      </c>
      <c r="BD77" s="442"/>
      <c r="BE77" s="576"/>
    </row>
    <row r="78" spans="1:105" s="42" customFormat="1" ht="20.25" customHeight="1" thickBot="1">
      <c r="A78" s="306" t="s">
        <v>214</v>
      </c>
      <c r="B78" s="307"/>
      <c r="C78" s="307"/>
      <c r="D78" s="625" t="str">
        <f>IF(D71="","",D71/$D$71)</f>
        <v/>
      </c>
      <c r="E78" s="626"/>
      <c r="F78" s="627"/>
      <c r="G78" s="625" t="str">
        <f>IF($D$71="","",IF(G71="","",G71/$D$71))</f>
        <v/>
      </c>
      <c r="H78" s="626"/>
      <c r="I78" s="627"/>
      <c r="J78" s="625" t="str">
        <f>IF($D$71="","",IF(J71="","",J71/$D$71))</f>
        <v/>
      </c>
      <c r="K78" s="626"/>
      <c r="L78" s="627"/>
      <c r="M78" s="625" t="str">
        <f>IF($D$71="","",IF(M71="","",M71/$D$71))</f>
        <v/>
      </c>
      <c r="N78" s="626"/>
      <c r="O78" s="627"/>
      <c r="P78" s="625" t="str">
        <f>IF($D$71="","",IF(P71="","",P71/$D$71))</f>
        <v/>
      </c>
      <c r="Q78" s="626"/>
      <c r="R78" s="627"/>
      <c r="S78" s="307"/>
      <c r="T78" s="307"/>
      <c r="U78" s="307"/>
      <c r="V78" s="307"/>
      <c r="W78" s="307"/>
      <c r="X78" s="307"/>
      <c r="Y78" s="307"/>
      <c r="Z78" s="307"/>
      <c r="AA78" s="580"/>
      <c r="AB78" s="183"/>
      <c r="AC78" s="612"/>
      <c r="AD78" s="612"/>
      <c r="AE78" s="612"/>
      <c r="AF78" s="612"/>
      <c r="AG78" s="613"/>
      <c r="AH78" s="634"/>
      <c r="AI78" s="635"/>
      <c r="AJ78" s="635"/>
      <c r="AK78" s="635"/>
      <c r="AV78" s="574"/>
      <c r="AW78" s="581"/>
      <c r="AX78" s="581"/>
      <c r="AY78" s="581"/>
      <c r="AZ78" s="582"/>
      <c r="BA78" s="581"/>
      <c r="BB78" s="581"/>
      <c r="BC78" s="581"/>
      <c r="BD78" s="581"/>
      <c r="BE78" s="583"/>
    </row>
    <row r="79" spans="1:105" s="42" customFormat="1" ht="20.25" customHeight="1" thickBot="1">
      <c r="A79" s="620" t="s">
        <v>213</v>
      </c>
      <c r="B79" s="422"/>
      <c r="C79" s="422"/>
      <c r="D79" s="621"/>
      <c r="E79" s="621"/>
      <c r="F79" s="621"/>
      <c r="G79" s="622" t="str">
        <f>IF($G$71="","",G71/$G$71)</f>
        <v/>
      </c>
      <c r="H79" s="623"/>
      <c r="I79" s="624"/>
      <c r="J79" s="622" t="str">
        <f>IF($G$71="","",IF(J71="","",J71/$G$71))</f>
        <v/>
      </c>
      <c r="K79" s="623"/>
      <c r="L79" s="624"/>
      <c r="M79" s="622" t="str">
        <f>IF($G$71="","",IF(M71="","",M71/$G$71))</f>
        <v/>
      </c>
      <c r="N79" s="623"/>
      <c r="O79" s="624"/>
      <c r="P79" s="622" t="str">
        <f>IF($G$71="","",IF(P71="","",P71/$G$71))</f>
        <v/>
      </c>
      <c r="Q79" s="623"/>
      <c r="R79" s="624"/>
      <c r="S79" s="551"/>
      <c r="T79" s="318"/>
      <c r="U79" s="319"/>
      <c r="V79" s="551"/>
      <c r="W79" s="318"/>
      <c r="X79" s="319"/>
      <c r="Y79" s="551"/>
      <c r="Z79" s="318"/>
      <c r="AA79" s="598"/>
      <c r="AB79" s="186"/>
      <c r="AC79" s="612"/>
      <c r="AD79" s="612"/>
      <c r="AE79" s="612"/>
      <c r="AF79" s="612"/>
      <c r="AG79" s="613"/>
      <c r="AH79" s="634"/>
      <c r="AI79" s="635"/>
      <c r="AJ79" s="635"/>
      <c r="AK79" s="635"/>
      <c r="AV79" s="575"/>
      <c r="AW79" s="584"/>
      <c r="AX79" s="584"/>
      <c r="AY79" s="584"/>
      <c r="AZ79" s="584"/>
      <c r="BA79" s="584"/>
      <c r="BB79" s="584"/>
      <c r="BC79" s="584"/>
      <c r="BD79" s="584"/>
      <c r="BE79" s="585"/>
    </row>
    <row r="80" spans="1:105" ht="20.25" customHeight="1" thickBot="1">
      <c r="CV80" s="2"/>
      <c r="CW80" s="2"/>
      <c r="CX80" s="2"/>
      <c r="CY80" s="2"/>
      <c r="CZ80" s="2"/>
      <c r="DA80" s="2"/>
    </row>
    <row r="81" spans="1:105" ht="20.25" customHeight="1">
      <c r="A81" s="552" t="s">
        <v>55</v>
      </c>
      <c r="B81" s="547" t="s">
        <v>70</v>
      </c>
      <c r="C81" s="547"/>
      <c r="D81" s="547" t="s">
        <v>11</v>
      </c>
      <c r="E81" s="547"/>
      <c r="F81" s="547"/>
      <c r="G81" s="405" t="s">
        <v>13</v>
      </c>
      <c r="H81" s="406"/>
      <c r="I81" s="555"/>
      <c r="J81" s="405" t="s">
        <v>47</v>
      </c>
      <c r="K81" s="406"/>
      <c r="L81" s="556"/>
      <c r="O81" s="557" t="s">
        <v>90</v>
      </c>
      <c r="P81" s="547" t="s">
        <v>70</v>
      </c>
      <c r="Q81" s="547"/>
      <c r="R81" s="548" t="s">
        <v>253</v>
      </c>
      <c r="S81" s="549"/>
      <c r="T81" s="548" t="s">
        <v>92</v>
      </c>
      <c r="U81" s="547"/>
      <c r="V81" s="547" t="s">
        <v>74</v>
      </c>
      <c r="W81" s="547"/>
      <c r="X81" s="547"/>
      <c r="Y81" s="547"/>
      <c r="Z81" s="547" t="s">
        <v>75</v>
      </c>
      <c r="AA81" s="547"/>
      <c r="AB81" s="547"/>
      <c r="AC81" s="547"/>
      <c r="AD81" s="547"/>
      <c r="AE81" s="547"/>
      <c r="AF81" s="547"/>
      <c r="AG81" s="547"/>
      <c r="AH81" s="547"/>
      <c r="AI81" s="547"/>
      <c r="AJ81" s="547"/>
      <c r="AK81" s="547" t="s">
        <v>76</v>
      </c>
      <c r="AL81" s="547"/>
      <c r="AM81" s="547"/>
      <c r="AN81" s="547"/>
      <c r="AO81" s="547"/>
      <c r="AP81" s="547"/>
      <c r="AQ81" s="547"/>
      <c r="AR81" s="547"/>
      <c r="AS81" s="547"/>
      <c r="AT81" s="547"/>
      <c r="AU81" s="547"/>
      <c r="AV81" s="547"/>
      <c r="AW81" s="547"/>
      <c r="AX81" s="547"/>
      <c r="AY81" s="547"/>
      <c r="AZ81" s="547"/>
      <c r="BA81" s="547"/>
      <c r="BB81" s="547"/>
      <c r="BC81" s="547"/>
      <c r="BD81" s="550"/>
      <c r="CV81" s="2"/>
      <c r="CW81" s="2"/>
      <c r="CX81" s="2"/>
      <c r="CY81" s="2"/>
      <c r="CZ81" s="2"/>
      <c r="DA81" s="2"/>
    </row>
    <row r="82" spans="1:105" ht="20.25" customHeight="1">
      <c r="A82" s="553"/>
      <c r="B82" s="403" t="s">
        <v>71</v>
      </c>
      <c r="C82" s="403"/>
      <c r="D82" s="402"/>
      <c r="E82" s="402"/>
      <c r="F82" s="402"/>
      <c r="G82" s="560"/>
      <c r="H82" s="561"/>
      <c r="I82" s="562"/>
      <c r="J82" s="560"/>
      <c r="K82" s="561"/>
      <c r="L82" s="563"/>
      <c r="O82" s="558"/>
      <c r="P82" s="403"/>
      <c r="Q82" s="403"/>
      <c r="R82" s="479"/>
      <c r="S82" s="479"/>
      <c r="T82" s="403"/>
      <c r="U82" s="403"/>
      <c r="V82" s="403" t="s">
        <v>248</v>
      </c>
      <c r="W82" s="403"/>
      <c r="X82" s="403" t="s">
        <v>77</v>
      </c>
      <c r="Y82" s="403"/>
      <c r="Z82" s="403" t="s">
        <v>77</v>
      </c>
      <c r="AA82" s="403"/>
      <c r="AB82" s="541" t="s">
        <v>252</v>
      </c>
      <c r="AC82" s="479"/>
      <c r="AD82" s="479"/>
      <c r="AE82" s="478" t="s">
        <v>244</v>
      </c>
      <c r="AF82" s="478"/>
      <c r="AG82" s="478"/>
      <c r="AH82" s="478" t="s">
        <v>249</v>
      </c>
      <c r="AI82" s="478"/>
      <c r="AJ82" s="478"/>
      <c r="AK82" s="403" t="s">
        <v>77</v>
      </c>
      <c r="AL82" s="403"/>
      <c r="AM82" s="541" t="s">
        <v>89</v>
      </c>
      <c r="AN82" s="479"/>
      <c r="AO82" s="479"/>
      <c r="AP82" s="478" t="s">
        <v>153</v>
      </c>
      <c r="AQ82" s="478"/>
      <c r="AR82" s="478"/>
      <c r="AS82" s="478" t="s">
        <v>250</v>
      </c>
      <c r="AT82" s="478"/>
      <c r="AU82" s="478"/>
      <c r="AV82" s="541" t="s">
        <v>93</v>
      </c>
      <c r="AW82" s="479"/>
      <c r="AX82" s="479"/>
      <c r="AY82" s="478" t="s">
        <v>154</v>
      </c>
      <c r="AZ82" s="478"/>
      <c r="BA82" s="478"/>
      <c r="BB82" s="478" t="s">
        <v>251</v>
      </c>
      <c r="BC82" s="478"/>
      <c r="BD82" s="544"/>
      <c r="CV82" s="2"/>
      <c r="CW82" s="2"/>
      <c r="CX82" s="2"/>
      <c r="CY82" s="2"/>
      <c r="CZ82" s="2"/>
      <c r="DA82" s="2"/>
    </row>
    <row r="83" spans="1:105" ht="20.25" customHeight="1">
      <c r="A83" s="553"/>
      <c r="B83" s="403" t="s">
        <v>72</v>
      </c>
      <c r="C83" s="403"/>
      <c r="D83" s="402"/>
      <c r="E83" s="402"/>
      <c r="F83" s="402"/>
      <c r="G83" s="560"/>
      <c r="H83" s="561"/>
      <c r="I83" s="562"/>
      <c r="J83" s="560"/>
      <c r="K83" s="561"/>
      <c r="L83" s="563"/>
      <c r="O83" s="558"/>
      <c r="P83" s="403"/>
      <c r="Q83" s="403"/>
      <c r="R83" s="542"/>
      <c r="S83" s="542"/>
      <c r="T83" s="546"/>
      <c r="U83" s="546"/>
      <c r="V83" s="546"/>
      <c r="W83" s="546"/>
      <c r="X83" s="546"/>
      <c r="Y83" s="546"/>
      <c r="Z83" s="546"/>
      <c r="AA83" s="546"/>
      <c r="AB83" s="542"/>
      <c r="AC83" s="542"/>
      <c r="AD83" s="542"/>
      <c r="AE83" s="543"/>
      <c r="AF83" s="543"/>
      <c r="AG83" s="543"/>
      <c r="AH83" s="543"/>
      <c r="AI83" s="543"/>
      <c r="AJ83" s="543"/>
      <c r="AK83" s="546"/>
      <c r="AL83" s="546"/>
      <c r="AM83" s="542"/>
      <c r="AN83" s="542"/>
      <c r="AO83" s="542"/>
      <c r="AP83" s="543"/>
      <c r="AQ83" s="543"/>
      <c r="AR83" s="543"/>
      <c r="AS83" s="543"/>
      <c r="AT83" s="543"/>
      <c r="AU83" s="543"/>
      <c r="AV83" s="542"/>
      <c r="AW83" s="542"/>
      <c r="AX83" s="542"/>
      <c r="AY83" s="543"/>
      <c r="AZ83" s="543"/>
      <c r="BA83" s="543"/>
      <c r="BB83" s="543"/>
      <c r="BC83" s="543"/>
      <c r="BD83" s="545"/>
      <c r="CV83" s="2"/>
      <c r="CW83" s="2"/>
      <c r="CX83" s="2"/>
      <c r="CY83" s="2"/>
      <c r="CZ83" s="2"/>
      <c r="DA83" s="2"/>
    </row>
    <row r="84" spans="1:105" ht="20.25" customHeight="1" thickBot="1">
      <c r="A84" s="554"/>
      <c r="B84" s="434" t="s">
        <v>73</v>
      </c>
      <c r="C84" s="434"/>
      <c r="D84" s="411"/>
      <c r="E84" s="411"/>
      <c r="F84" s="411"/>
      <c r="G84" s="564"/>
      <c r="H84" s="565"/>
      <c r="I84" s="566"/>
      <c r="J84" s="564"/>
      <c r="K84" s="565"/>
      <c r="L84" s="567"/>
      <c r="O84" s="558"/>
      <c r="P84" s="403" t="s">
        <v>243</v>
      </c>
      <c r="Q84" s="371"/>
      <c r="R84" s="420" t="str">
        <f>IF(E372=0,"",E372)</f>
        <v/>
      </c>
      <c r="S84" s="420"/>
      <c r="T84" s="420" t="str">
        <f t="shared" ref="T84:T91" si="34">IF(G372=0,"",G372)</f>
        <v/>
      </c>
      <c r="U84" s="420"/>
      <c r="V84" s="420" t="str">
        <f t="shared" ref="V84:V91" si="35">IF(I372=0,"",I372)</f>
        <v/>
      </c>
      <c r="W84" s="420"/>
      <c r="X84" s="420" t="str">
        <f t="shared" ref="X84:X91" si="36">IF(K372=0,"",K372)</f>
        <v/>
      </c>
      <c r="Y84" s="420"/>
      <c r="Z84" s="420" t="str">
        <f t="shared" ref="Z84:Z91" si="37">IF(M372=0,"",M372)</f>
        <v/>
      </c>
      <c r="AA84" s="420"/>
      <c r="AB84" s="524" t="str">
        <f>IF(O372=0,"",O372)</f>
        <v/>
      </c>
      <c r="AC84" s="524"/>
      <c r="AD84" s="524"/>
      <c r="AE84" s="524" t="str">
        <f t="shared" ref="AE84:AE91" si="38">IF(R372=0,"",R372)</f>
        <v/>
      </c>
      <c r="AF84" s="524"/>
      <c r="AG84" s="524"/>
      <c r="AH84" s="524" t="str">
        <f t="shared" ref="AH84:AH91" si="39">IF(U372=0,"",U372)</f>
        <v/>
      </c>
      <c r="AI84" s="524"/>
      <c r="AJ84" s="524"/>
      <c r="AK84" s="524" t="str">
        <f>IF(X372=0,"",X372)</f>
        <v/>
      </c>
      <c r="AL84" s="524"/>
      <c r="AM84" s="524" t="str">
        <f>IF(Z372=0,"",Z372)</f>
        <v/>
      </c>
      <c r="AN84" s="524"/>
      <c r="AO84" s="524"/>
      <c r="AP84" s="524" t="str">
        <f t="shared" ref="AP84:AP91" si="40">IF(AC372=0,"",AC372)</f>
        <v/>
      </c>
      <c r="AQ84" s="524"/>
      <c r="AR84" s="524"/>
      <c r="AS84" s="524" t="str">
        <f t="shared" ref="AS84:AS91" si="41">IF(AF372=0,"",AF372)</f>
        <v/>
      </c>
      <c r="AT84" s="524"/>
      <c r="AU84" s="524"/>
      <c r="AV84" s="524" t="str">
        <f t="shared" ref="AV84:AV91" si="42">IF(AL372=0,"",AL372)</f>
        <v/>
      </c>
      <c r="AW84" s="524"/>
      <c r="AX84" s="524"/>
      <c r="AY84" s="524" t="str">
        <f t="shared" ref="AY84:AY91" si="43">IF(AO372=0,"",AO372)</f>
        <v/>
      </c>
      <c r="AZ84" s="524"/>
      <c r="BA84" s="524"/>
      <c r="BB84" s="524" t="str">
        <f t="shared" ref="BB84:BB91" si="44">IF(AR372=0,"",AR372)</f>
        <v/>
      </c>
      <c r="BC84" s="524"/>
      <c r="BD84" s="525"/>
      <c r="CV84" s="2"/>
      <c r="CW84" s="2"/>
      <c r="CX84" s="2"/>
      <c r="CY84" s="2"/>
      <c r="CZ84" s="2"/>
      <c r="DA84" s="2"/>
    </row>
    <row r="85" spans="1:105" ht="20.25" customHeight="1" thickBot="1">
      <c r="O85" s="558"/>
      <c r="P85" s="371" t="s">
        <v>11</v>
      </c>
      <c r="Q85" s="372"/>
      <c r="R85" s="420" t="str">
        <f t="shared" ref="R85:R91" si="45">IF(E373=0,"",E373)</f>
        <v/>
      </c>
      <c r="S85" s="420"/>
      <c r="T85" s="420" t="str">
        <f t="shared" si="34"/>
        <v/>
      </c>
      <c r="U85" s="420"/>
      <c r="V85" s="420" t="str">
        <f t="shared" si="35"/>
        <v/>
      </c>
      <c r="W85" s="420"/>
      <c r="X85" s="420" t="str">
        <f t="shared" si="36"/>
        <v/>
      </c>
      <c r="Y85" s="420"/>
      <c r="Z85" s="420" t="str">
        <f t="shared" si="37"/>
        <v/>
      </c>
      <c r="AA85" s="420"/>
      <c r="AB85" s="524" t="str">
        <f t="shared" ref="AB85:AB91" si="46">IF(O373=0,"",O373)</f>
        <v/>
      </c>
      <c r="AC85" s="524"/>
      <c r="AD85" s="524"/>
      <c r="AE85" s="524" t="str">
        <f t="shared" si="38"/>
        <v/>
      </c>
      <c r="AF85" s="524"/>
      <c r="AG85" s="524"/>
      <c r="AH85" s="524" t="str">
        <f t="shared" si="39"/>
        <v/>
      </c>
      <c r="AI85" s="524"/>
      <c r="AJ85" s="524"/>
      <c r="AK85" s="524" t="str">
        <f t="shared" ref="AK85:AK91" si="47">IF(X373=0,"",X373)</f>
        <v/>
      </c>
      <c r="AL85" s="524"/>
      <c r="AM85" s="524" t="str">
        <f t="shared" ref="AM85:AM91" si="48">IF(Z373=0,"",Z373)</f>
        <v/>
      </c>
      <c r="AN85" s="524"/>
      <c r="AO85" s="524"/>
      <c r="AP85" s="524" t="str">
        <f t="shared" si="40"/>
        <v/>
      </c>
      <c r="AQ85" s="524"/>
      <c r="AR85" s="524"/>
      <c r="AS85" s="524" t="str">
        <f t="shared" si="41"/>
        <v/>
      </c>
      <c r="AT85" s="524"/>
      <c r="AU85" s="524"/>
      <c r="AV85" s="524" t="str">
        <f t="shared" si="42"/>
        <v/>
      </c>
      <c r="AW85" s="524"/>
      <c r="AX85" s="524"/>
      <c r="AY85" s="524" t="str">
        <f t="shared" si="43"/>
        <v/>
      </c>
      <c r="AZ85" s="524"/>
      <c r="BA85" s="524"/>
      <c r="BB85" s="524" t="str">
        <f t="shared" si="44"/>
        <v/>
      </c>
      <c r="BC85" s="524"/>
      <c r="BD85" s="525"/>
      <c r="CV85" s="2"/>
      <c r="CW85" s="2"/>
      <c r="CX85" s="2"/>
      <c r="CY85" s="2"/>
      <c r="CZ85" s="2"/>
      <c r="DA85" s="2"/>
    </row>
    <row r="86" spans="1:105" ht="20.25" customHeight="1">
      <c r="A86" s="570" t="s">
        <v>67</v>
      </c>
      <c r="B86" s="547" t="s">
        <v>68</v>
      </c>
      <c r="C86" s="547"/>
      <c r="D86" s="547"/>
      <c r="E86" s="547"/>
      <c r="F86" s="547"/>
      <c r="G86" s="547"/>
      <c r="H86" s="547"/>
      <c r="I86" s="547"/>
      <c r="J86" s="550"/>
      <c r="O86" s="558"/>
      <c r="P86" s="371" t="s">
        <v>13</v>
      </c>
      <c r="Q86" s="372"/>
      <c r="R86" s="420" t="str">
        <f t="shared" si="45"/>
        <v/>
      </c>
      <c r="S86" s="420"/>
      <c r="T86" s="420" t="str">
        <f t="shared" si="34"/>
        <v/>
      </c>
      <c r="U86" s="420"/>
      <c r="V86" s="420" t="str">
        <f t="shared" si="35"/>
        <v/>
      </c>
      <c r="W86" s="420"/>
      <c r="X86" s="420" t="str">
        <f t="shared" si="36"/>
        <v/>
      </c>
      <c r="Y86" s="420"/>
      <c r="Z86" s="420" t="str">
        <f t="shared" si="37"/>
        <v/>
      </c>
      <c r="AA86" s="420"/>
      <c r="AB86" s="524" t="str">
        <f t="shared" si="46"/>
        <v/>
      </c>
      <c r="AC86" s="524"/>
      <c r="AD86" s="524"/>
      <c r="AE86" s="524" t="str">
        <f t="shared" si="38"/>
        <v/>
      </c>
      <c r="AF86" s="524"/>
      <c r="AG86" s="524"/>
      <c r="AH86" s="524" t="str">
        <f t="shared" si="39"/>
        <v/>
      </c>
      <c r="AI86" s="524"/>
      <c r="AJ86" s="524"/>
      <c r="AK86" s="524" t="str">
        <f t="shared" si="47"/>
        <v/>
      </c>
      <c r="AL86" s="524"/>
      <c r="AM86" s="524" t="str">
        <f t="shared" si="48"/>
        <v/>
      </c>
      <c r="AN86" s="524"/>
      <c r="AO86" s="524"/>
      <c r="AP86" s="524" t="str">
        <f t="shared" si="40"/>
        <v/>
      </c>
      <c r="AQ86" s="524"/>
      <c r="AR86" s="524"/>
      <c r="AS86" s="524" t="str">
        <f t="shared" si="41"/>
        <v/>
      </c>
      <c r="AT86" s="524"/>
      <c r="AU86" s="524"/>
      <c r="AV86" s="524" t="str">
        <f t="shared" si="42"/>
        <v/>
      </c>
      <c r="AW86" s="524"/>
      <c r="AX86" s="524"/>
      <c r="AY86" s="524" t="str">
        <f t="shared" si="43"/>
        <v/>
      </c>
      <c r="AZ86" s="524"/>
      <c r="BA86" s="524"/>
      <c r="BB86" s="524" t="str">
        <f t="shared" si="44"/>
        <v/>
      </c>
      <c r="BC86" s="524"/>
      <c r="BD86" s="525"/>
      <c r="CV86" s="2"/>
      <c r="CW86" s="2"/>
      <c r="CX86" s="2"/>
      <c r="CY86" s="2"/>
      <c r="CZ86" s="2"/>
      <c r="DA86" s="2"/>
    </row>
    <row r="87" spans="1:105" ht="20.25" customHeight="1">
      <c r="A87" s="571"/>
      <c r="B87" s="529" t="s">
        <v>69</v>
      </c>
      <c r="C87" s="530"/>
      <c r="D87" s="531"/>
      <c r="E87" s="529" t="s">
        <v>88</v>
      </c>
      <c r="F87" s="530"/>
      <c r="G87" s="531"/>
      <c r="H87" s="535" t="s">
        <v>242</v>
      </c>
      <c r="I87" s="536"/>
      <c r="J87" s="537"/>
      <c r="M87" s="39"/>
      <c r="N87" s="39"/>
      <c r="O87" s="558"/>
      <c r="P87" s="371" t="s">
        <v>47</v>
      </c>
      <c r="Q87" s="372"/>
      <c r="R87" s="420" t="str">
        <f t="shared" si="45"/>
        <v/>
      </c>
      <c r="S87" s="420"/>
      <c r="T87" s="420" t="str">
        <f t="shared" si="34"/>
        <v/>
      </c>
      <c r="U87" s="420"/>
      <c r="V87" s="420" t="str">
        <f t="shared" si="35"/>
        <v/>
      </c>
      <c r="W87" s="420"/>
      <c r="X87" s="420" t="str">
        <f t="shared" si="36"/>
        <v/>
      </c>
      <c r="Y87" s="420"/>
      <c r="Z87" s="420" t="str">
        <f t="shared" si="37"/>
        <v/>
      </c>
      <c r="AA87" s="420"/>
      <c r="AB87" s="524" t="str">
        <f t="shared" si="46"/>
        <v/>
      </c>
      <c r="AC87" s="524"/>
      <c r="AD87" s="524"/>
      <c r="AE87" s="524" t="str">
        <f t="shared" si="38"/>
        <v/>
      </c>
      <c r="AF87" s="524"/>
      <c r="AG87" s="524"/>
      <c r="AH87" s="524" t="str">
        <f t="shared" si="39"/>
        <v/>
      </c>
      <c r="AI87" s="524"/>
      <c r="AJ87" s="524"/>
      <c r="AK87" s="524" t="str">
        <f t="shared" si="47"/>
        <v/>
      </c>
      <c r="AL87" s="524"/>
      <c r="AM87" s="524" t="str">
        <f t="shared" si="48"/>
        <v/>
      </c>
      <c r="AN87" s="524"/>
      <c r="AO87" s="524"/>
      <c r="AP87" s="524" t="str">
        <f t="shared" si="40"/>
        <v/>
      </c>
      <c r="AQ87" s="524"/>
      <c r="AR87" s="524"/>
      <c r="AS87" s="524" t="str">
        <f t="shared" si="41"/>
        <v/>
      </c>
      <c r="AT87" s="524"/>
      <c r="AU87" s="524"/>
      <c r="AV87" s="524" t="str">
        <f t="shared" si="42"/>
        <v/>
      </c>
      <c r="AW87" s="524"/>
      <c r="AX87" s="524"/>
      <c r="AY87" s="524" t="str">
        <f t="shared" si="43"/>
        <v/>
      </c>
      <c r="AZ87" s="524"/>
      <c r="BA87" s="524"/>
      <c r="BB87" s="524" t="str">
        <f t="shared" si="44"/>
        <v/>
      </c>
      <c r="BC87" s="524"/>
      <c r="BD87" s="525"/>
      <c r="CV87" s="2"/>
      <c r="CW87" s="2"/>
      <c r="CX87" s="2"/>
      <c r="CY87" s="2"/>
      <c r="CZ87" s="2"/>
      <c r="DA87" s="2"/>
    </row>
    <row r="88" spans="1:105" ht="20.25" customHeight="1">
      <c r="A88" s="571"/>
      <c r="B88" s="532"/>
      <c r="C88" s="533"/>
      <c r="D88" s="534"/>
      <c r="E88" s="532"/>
      <c r="F88" s="533"/>
      <c r="G88" s="534"/>
      <c r="H88" s="538"/>
      <c r="I88" s="539"/>
      <c r="J88" s="540"/>
      <c r="O88" s="558"/>
      <c r="P88" s="403" t="s">
        <v>234</v>
      </c>
      <c r="Q88" s="371"/>
      <c r="R88" s="420" t="str">
        <f t="shared" si="45"/>
        <v/>
      </c>
      <c r="S88" s="420"/>
      <c r="T88" s="420" t="str">
        <f t="shared" si="34"/>
        <v/>
      </c>
      <c r="U88" s="420"/>
      <c r="V88" s="420" t="str">
        <f t="shared" si="35"/>
        <v/>
      </c>
      <c r="W88" s="420"/>
      <c r="X88" s="420" t="str">
        <f t="shared" si="36"/>
        <v/>
      </c>
      <c r="Y88" s="420"/>
      <c r="Z88" s="420" t="str">
        <f t="shared" si="37"/>
        <v/>
      </c>
      <c r="AA88" s="420"/>
      <c r="AB88" s="524" t="str">
        <f t="shared" si="46"/>
        <v/>
      </c>
      <c r="AC88" s="524"/>
      <c r="AD88" s="524"/>
      <c r="AE88" s="524" t="str">
        <f t="shared" si="38"/>
        <v/>
      </c>
      <c r="AF88" s="524"/>
      <c r="AG88" s="524"/>
      <c r="AH88" s="524" t="str">
        <f t="shared" si="39"/>
        <v/>
      </c>
      <c r="AI88" s="524"/>
      <c r="AJ88" s="524"/>
      <c r="AK88" s="524" t="str">
        <f t="shared" si="47"/>
        <v/>
      </c>
      <c r="AL88" s="524"/>
      <c r="AM88" s="524" t="str">
        <f t="shared" si="48"/>
        <v/>
      </c>
      <c r="AN88" s="524"/>
      <c r="AO88" s="524"/>
      <c r="AP88" s="524" t="str">
        <f t="shared" si="40"/>
        <v/>
      </c>
      <c r="AQ88" s="524"/>
      <c r="AR88" s="524"/>
      <c r="AS88" s="524" t="str">
        <f t="shared" si="41"/>
        <v/>
      </c>
      <c r="AT88" s="524"/>
      <c r="AU88" s="524"/>
      <c r="AV88" s="524" t="str">
        <f t="shared" si="42"/>
        <v/>
      </c>
      <c r="AW88" s="524"/>
      <c r="AX88" s="524"/>
      <c r="AY88" s="524" t="str">
        <f t="shared" si="43"/>
        <v/>
      </c>
      <c r="AZ88" s="524"/>
      <c r="BA88" s="524"/>
      <c r="BB88" s="524" t="str">
        <f t="shared" si="44"/>
        <v/>
      </c>
      <c r="BC88" s="524"/>
      <c r="BD88" s="525"/>
    </row>
    <row r="89" spans="1:105" ht="20.25" customHeight="1">
      <c r="A89" s="571"/>
      <c r="B89" s="401"/>
      <c r="C89" s="401"/>
      <c r="D89" s="401"/>
      <c r="E89" s="401"/>
      <c r="F89" s="401"/>
      <c r="G89" s="401"/>
      <c r="H89" s="438" t="str">
        <f>IF(E89="","",IF($Y$74="","",E89/$Y$74*1000))</f>
        <v/>
      </c>
      <c r="I89" s="438"/>
      <c r="J89" s="528"/>
      <c r="O89" s="558"/>
      <c r="P89" s="403" t="s">
        <v>235</v>
      </c>
      <c r="Q89" s="371"/>
      <c r="R89" s="420" t="str">
        <f t="shared" si="45"/>
        <v/>
      </c>
      <c r="S89" s="420"/>
      <c r="T89" s="420" t="str">
        <f t="shared" si="34"/>
        <v/>
      </c>
      <c r="U89" s="420"/>
      <c r="V89" s="420" t="str">
        <f t="shared" si="35"/>
        <v/>
      </c>
      <c r="W89" s="420"/>
      <c r="X89" s="420" t="str">
        <f t="shared" si="36"/>
        <v/>
      </c>
      <c r="Y89" s="420"/>
      <c r="Z89" s="420" t="str">
        <f t="shared" si="37"/>
        <v/>
      </c>
      <c r="AA89" s="420"/>
      <c r="AB89" s="524" t="str">
        <f t="shared" si="46"/>
        <v/>
      </c>
      <c r="AC89" s="524"/>
      <c r="AD89" s="524"/>
      <c r="AE89" s="524" t="str">
        <f t="shared" si="38"/>
        <v/>
      </c>
      <c r="AF89" s="524"/>
      <c r="AG89" s="524"/>
      <c r="AH89" s="524" t="str">
        <f t="shared" si="39"/>
        <v/>
      </c>
      <c r="AI89" s="524"/>
      <c r="AJ89" s="524"/>
      <c r="AK89" s="524" t="str">
        <f t="shared" si="47"/>
        <v/>
      </c>
      <c r="AL89" s="524"/>
      <c r="AM89" s="524" t="str">
        <f t="shared" si="48"/>
        <v/>
      </c>
      <c r="AN89" s="524"/>
      <c r="AO89" s="524"/>
      <c r="AP89" s="524" t="str">
        <f t="shared" si="40"/>
        <v/>
      </c>
      <c r="AQ89" s="524"/>
      <c r="AR89" s="524"/>
      <c r="AS89" s="524" t="str">
        <f t="shared" si="41"/>
        <v/>
      </c>
      <c r="AT89" s="524"/>
      <c r="AU89" s="524"/>
      <c r="AV89" s="524" t="str">
        <f t="shared" si="42"/>
        <v/>
      </c>
      <c r="AW89" s="524"/>
      <c r="AX89" s="524"/>
      <c r="AY89" s="524" t="str">
        <f t="shared" si="43"/>
        <v/>
      </c>
      <c r="AZ89" s="524"/>
      <c r="BA89" s="524"/>
      <c r="BB89" s="524" t="str">
        <f t="shared" si="44"/>
        <v/>
      </c>
      <c r="BC89" s="524"/>
      <c r="BD89" s="525"/>
      <c r="CV89" s="2"/>
      <c r="CW89" s="2"/>
      <c r="CX89" s="2"/>
      <c r="CY89" s="2"/>
      <c r="CZ89" s="2"/>
      <c r="DA89" s="2"/>
    </row>
    <row r="90" spans="1:105" ht="20.25" customHeight="1">
      <c r="A90" s="571"/>
      <c r="B90" s="361"/>
      <c r="C90" s="568"/>
      <c r="D90" s="569"/>
      <c r="E90" s="361"/>
      <c r="F90" s="568"/>
      <c r="G90" s="569"/>
      <c r="H90" s="438" t="str">
        <f t="shared" ref="H90:H91" si="49">IF(E90="","",IF($Y$74="","",E90/$Y$74*1000))</f>
        <v/>
      </c>
      <c r="I90" s="438"/>
      <c r="J90" s="528"/>
      <c r="O90" s="558"/>
      <c r="P90" s="403" t="s">
        <v>236</v>
      </c>
      <c r="Q90" s="371"/>
      <c r="R90" s="420" t="str">
        <f t="shared" si="45"/>
        <v/>
      </c>
      <c r="S90" s="420"/>
      <c r="T90" s="420" t="str">
        <f t="shared" si="34"/>
        <v/>
      </c>
      <c r="U90" s="420"/>
      <c r="V90" s="420" t="str">
        <f t="shared" si="35"/>
        <v/>
      </c>
      <c r="W90" s="420"/>
      <c r="X90" s="420" t="str">
        <f t="shared" si="36"/>
        <v/>
      </c>
      <c r="Y90" s="420"/>
      <c r="Z90" s="420" t="str">
        <f t="shared" si="37"/>
        <v/>
      </c>
      <c r="AA90" s="420"/>
      <c r="AB90" s="524" t="str">
        <f t="shared" si="46"/>
        <v/>
      </c>
      <c r="AC90" s="524"/>
      <c r="AD90" s="524"/>
      <c r="AE90" s="524" t="str">
        <f t="shared" si="38"/>
        <v/>
      </c>
      <c r="AF90" s="524"/>
      <c r="AG90" s="524"/>
      <c r="AH90" s="524" t="str">
        <f t="shared" si="39"/>
        <v/>
      </c>
      <c r="AI90" s="524"/>
      <c r="AJ90" s="524"/>
      <c r="AK90" s="524" t="str">
        <f t="shared" si="47"/>
        <v/>
      </c>
      <c r="AL90" s="524"/>
      <c r="AM90" s="524" t="str">
        <f t="shared" si="48"/>
        <v/>
      </c>
      <c r="AN90" s="524"/>
      <c r="AO90" s="524"/>
      <c r="AP90" s="524" t="str">
        <f t="shared" si="40"/>
        <v/>
      </c>
      <c r="AQ90" s="524"/>
      <c r="AR90" s="524"/>
      <c r="AS90" s="524" t="str">
        <f t="shared" si="41"/>
        <v/>
      </c>
      <c r="AT90" s="524"/>
      <c r="AU90" s="524"/>
      <c r="AV90" s="524" t="str">
        <f t="shared" si="42"/>
        <v/>
      </c>
      <c r="AW90" s="524"/>
      <c r="AX90" s="524"/>
      <c r="AY90" s="524" t="str">
        <f t="shared" si="43"/>
        <v/>
      </c>
      <c r="AZ90" s="524"/>
      <c r="BA90" s="524"/>
      <c r="BB90" s="524" t="str">
        <f t="shared" si="44"/>
        <v/>
      </c>
      <c r="BC90" s="524"/>
      <c r="BD90" s="525"/>
      <c r="CV90" s="2"/>
      <c r="CW90" s="2"/>
    </row>
    <row r="91" spans="1:105" ht="20.25" customHeight="1" thickBot="1">
      <c r="A91" s="572"/>
      <c r="B91" s="483"/>
      <c r="C91" s="484"/>
      <c r="D91" s="485"/>
      <c r="E91" s="483"/>
      <c r="F91" s="484"/>
      <c r="G91" s="485"/>
      <c r="H91" s="486" t="str">
        <f t="shared" si="49"/>
        <v/>
      </c>
      <c r="I91" s="486"/>
      <c r="J91" s="487"/>
      <c r="O91" s="559"/>
      <c r="P91" s="434" t="s">
        <v>237</v>
      </c>
      <c r="Q91" s="526"/>
      <c r="R91" s="527" t="str">
        <f t="shared" si="45"/>
        <v/>
      </c>
      <c r="S91" s="527"/>
      <c r="T91" s="527" t="str">
        <f t="shared" si="34"/>
        <v/>
      </c>
      <c r="U91" s="527"/>
      <c r="V91" s="527" t="str">
        <f t="shared" si="35"/>
        <v/>
      </c>
      <c r="W91" s="527"/>
      <c r="X91" s="527" t="str">
        <f t="shared" si="36"/>
        <v/>
      </c>
      <c r="Y91" s="527"/>
      <c r="Z91" s="527" t="str">
        <f t="shared" si="37"/>
        <v/>
      </c>
      <c r="AA91" s="527"/>
      <c r="AB91" s="522" t="str">
        <f t="shared" si="46"/>
        <v/>
      </c>
      <c r="AC91" s="522"/>
      <c r="AD91" s="522"/>
      <c r="AE91" s="522" t="str">
        <f t="shared" si="38"/>
        <v/>
      </c>
      <c r="AF91" s="522"/>
      <c r="AG91" s="522"/>
      <c r="AH91" s="522" t="str">
        <f t="shared" si="39"/>
        <v/>
      </c>
      <c r="AI91" s="522"/>
      <c r="AJ91" s="522"/>
      <c r="AK91" s="522" t="str">
        <f t="shared" si="47"/>
        <v/>
      </c>
      <c r="AL91" s="522"/>
      <c r="AM91" s="522" t="str">
        <f t="shared" si="48"/>
        <v/>
      </c>
      <c r="AN91" s="522"/>
      <c r="AO91" s="522"/>
      <c r="AP91" s="522" t="str">
        <f t="shared" si="40"/>
        <v/>
      </c>
      <c r="AQ91" s="522"/>
      <c r="AR91" s="522"/>
      <c r="AS91" s="522" t="str">
        <f t="shared" si="41"/>
        <v/>
      </c>
      <c r="AT91" s="522"/>
      <c r="AU91" s="522"/>
      <c r="AV91" s="522" t="str">
        <f t="shared" si="42"/>
        <v/>
      </c>
      <c r="AW91" s="522"/>
      <c r="AX91" s="522"/>
      <c r="AY91" s="522" t="str">
        <f t="shared" si="43"/>
        <v/>
      </c>
      <c r="AZ91" s="522"/>
      <c r="BA91" s="522"/>
      <c r="BB91" s="522" t="str">
        <f t="shared" si="44"/>
        <v/>
      </c>
      <c r="BC91" s="522"/>
      <c r="BD91" s="523"/>
      <c r="CV91" s="2"/>
      <c r="CW91" s="2"/>
      <c r="CX91" s="2"/>
      <c r="CY91" s="2"/>
      <c r="CZ91" s="2"/>
      <c r="DA91" s="2"/>
    </row>
    <row r="92" spans="1:105" ht="20.25" customHeight="1" thickBot="1">
      <c r="O92" s="48"/>
      <c r="BD92" s="39"/>
      <c r="BE92" s="39"/>
      <c r="CV92" s="2"/>
      <c r="CW92" s="2"/>
      <c r="CX92" s="2"/>
      <c r="CY92" s="2"/>
      <c r="CZ92" s="2"/>
      <c r="DA92" s="2"/>
    </row>
    <row r="93" spans="1:105" ht="20.25" customHeight="1">
      <c r="A93" s="494" t="s">
        <v>261</v>
      </c>
      <c r="B93" s="760" t="s">
        <v>271</v>
      </c>
      <c r="C93" s="397"/>
      <c r="D93" s="768"/>
      <c r="E93" s="768"/>
      <c r="F93" s="769"/>
      <c r="G93" s="233" t="s">
        <v>272</v>
      </c>
      <c r="H93" s="770"/>
      <c r="I93" s="768"/>
      <c r="J93" s="769"/>
      <c r="K93" s="765" t="s">
        <v>273</v>
      </c>
      <c r="L93" s="766"/>
      <c r="M93" s="767"/>
      <c r="N93" s="771"/>
      <c r="O93" s="772"/>
      <c r="P93" s="772"/>
      <c r="Q93" s="772"/>
      <c r="R93" s="773"/>
      <c r="S93"/>
      <c r="T93"/>
      <c r="U93" s="776" t="s">
        <v>287</v>
      </c>
      <c r="V93" s="405" t="s">
        <v>80</v>
      </c>
      <c r="W93" s="406"/>
      <c r="X93" s="406"/>
      <c r="Y93" s="406"/>
      <c r="Z93" s="407"/>
      <c r="AA93" s="407"/>
      <c r="AB93" s="364"/>
      <c r="AC93" s="365"/>
      <c r="AD93" s="365"/>
      <c r="AE93" s="366"/>
      <c r="AF93" s="364"/>
      <c r="AG93" s="365"/>
      <c r="AH93" s="365"/>
      <c r="AI93" s="366"/>
      <c r="AJ93" s="364"/>
      <c r="AK93" s="365"/>
      <c r="AL93" s="365"/>
      <c r="AM93" s="366"/>
      <c r="AN93" s="364"/>
      <c r="AO93" s="365"/>
      <c r="AP93" s="365"/>
      <c r="AQ93" s="366"/>
      <c r="AR93" s="364"/>
      <c r="AS93" s="365"/>
      <c r="AT93" s="365"/>
      <c r="AU93" s="366"/>
      <c r="AV93" s="364"/>
      <c r="AW93" s="365"/>
      <c r="AX93" s="365"/>
      <c r="AY93" s="366"/>
      <c r="AZ93" s="787" t="s">
        <v>291</v>
      </c>
      <c r="BA93" s="766"/>
      <c r="BB93" s="766"/>
      <c r="BC93" s="767"/>
      <c r="BF93" s="2"/>
      <c r="BG93" s="354"/>
      <c r="BH93" s="355"/>
      <c r="BI93" s="355"/>
      <c r="BJ93" s="355"/>
    </row>
    <row r="94" spans="1:105" ht="20.25" customHeight="1">
      <c r="A94" s="495"/>
      <c r="B94" s="734" t="s">
        <v>269</v>
      </c>
      <c r="C94" s="763"/>
      <c r="D94" s="363"/>
      <c r="E94" s="362"/>
      <c r="F94" s="764" t="s">
        <v>284</v>
      </c>
      <c r="G94" s="420"/>
      <c r="H94" s="420"/>
      <c r="I94" s="764" t="s">
        <v>276</v>
      </c>
      <c r="J94" s="420"/>
      <c r="K94" s="420"/>
      <c r="L94" s="425" t="s">
        <v>274</v>
      </c>
      <c r="M94" s="761"/>
      <c r="N94" s="761"/>
      <c r="O94" s="427"/>
      <c r="P94" s="428"/>
      <c r="Q94" s="429"/>
      <c r="R94" s="430"/>
      <c r="S94"/>
      <c r="T94"/>
      <c r="U94" s="777"/>
      <c r="V94" s="308" t="s">
        <v>215</v>
      </c>
      <c r="W94" s="315"/>
      <c r="X94" s="315"/>
      <c r="Y94" s="315"/>
      <c r="Z94" s="363"/>
      <c r="AA94" s="363"/>
      <c r="AB94" s="361"/>
      <c r="AC94" s="363"/>
      <c r="AD94" s="363"/>
      <c r="AE94" s="362"/>
      <c r="AF94" s="361"/>
      <c r="AG94" s="363"/>
      <c r="AH94" s="363"/>
      <c r="AI94" s="362"/>
      <c r="AJ94" s="361"/>
      <c r="AK94" s="363"/>
      <c r="AL94" s="363"/>
      <c r="AM94" s="362"/>
      <c r="AN94" s="361"/>
      <c r="AO94" s="363"/>
      <c r="AP94" s="363"/>
      <c r="AQ94" s="362"/>
      <c r="AR94" s="361"/>
      <c r="AS94" s="363"/>
      <c r="AT94" s="363"/>
      <c r="AU94" s="362"/>
      <c r="AV94" s="361"/>
      <c r="AW94" s="363"/>
      <c r="AX94" s="363"/>
      <c r="AY94" s="362"/>
      <c r="AZ94" s="788">
        <f>SUM(AB94:AY94)</f>
        <v>0</v>
      </c>
      <c r="BA94" s="463"/>
      <c r="BB94" s="463"/>
      <c r="BC94" s="780"/>
      <c r="BF94" s="2"/>
      <c r="BG94" s="2"/>
      <c r="BH94" s="2"/>
    </row>
    <row r="95" spans="1:105" ht="20.25" customHeight="1">
      <c r="A95" s="495"/>
      <c r="B95" s="735"/>
      <c r="C95" s="425" t="s">
        <v>262</v>
      </c>
      <c r="D95" s="363"/>
      <c r="E95" s="362"/>
      <c r="F95" s="423"/>
      <c r="G95" s="423"/>
      <c r="H95" s="423"/>
      <c r="I95" s="423"/>
      <c r="J95" s="423"/>
      <c r="K95" s="423"/>
      <c r="L95" s="762" t="s">
        <v>275</v>
      </c>
      <c r="M95" s="761"/>
      <c r="N95" s="761"/>
      <c r="O95" s="427"/>
      <c r="P95" s="428"/>
      <c r="Q95" s="429"/>
      <c r="R95" s="430"/>
      <c r="S95"/>
      <c r="T95"/>
      <c r="U95" s="777"/>
      <c r="V95" s="308" t="s">
        <v>226</v>
      </c>
      <c r="W95" s="315"/>
      <c r="X95" s="315"/>
      <c r="Y95" s="315"/>
      <c r="Z95" s="363"/>
      <c r="AA95" s="363"/>
      <c r="AB95" s="361"/>
      <c r="AC95" s="363"/>
      <c r="AD95" s="363"/>
      <c r="AE95" s="362"/>
      <c r="AF95" s="361"/>
      <c r="AG95" s="363"/>
      <c r="AH95" s="363"/>
      <c r="AI95" s="362"/>
      <c r="AJ95" s="361"/>
      <c r="AK95" s="363"/>
      <c r="AL95" s="363"/>
      <c r="AM95" s="362"/>
      <c r="AN95" s="361"/>
      <c r="AO95" s="363"/>
      <c r="AP95" s="363"/>
      <c r="AQ95" s="362"/>
      <c r="AR95" s="361"/>
      <c r="AS95" s="363"/>
      <c r="AT95" s="363"/>
      <c r="AU95" s="362"/>
      <c r="AV95" s="361"/>
      <c r="AW95" s="363"/>
      <c r="AX95" s="363"/>
      <c r="AY95" s="362"/>
      <c r="AZ95" s="781"/>
      <c r="BA95" s="779"/>
      <c r="BB95" s="779"/>
      <c r="BC95" s="784"/>
      <c r="BF95" s="2"/>
      <c r="BG95" s="2"/>
      <c r="BH95" s="2"/>
    </row>
    <row r="96" spans="1:105" ht="20.25" customHeight="1">
      <c r="A96" s="495"/>
      <c r="B96" s="735"/>
      <c r="C96" s="425" t="s">
        <v>263</v>
      </c>
      <c r="D96" s="363"/>
      <c r="E96" s="362"/>
      <c r="F96" s="423"/>
      <c r="G96" s="423"/>
      <c r="H96" s="423"/>
      <c r="I96" s="423"/>
      <c r="J96" s="423"/>
      <c r="K96" s="423"/>
      <c r="L96" s="762" t="s">
        <v>276</v>
      </c>
      <c r="M96" s="761"/>
      <c r="N96" s="761"/>
      <c r="O96" s="427"/>
      <c r="P96" s="428"/>
      <c r="Q96" s="429"/>
      <c r="R96" s="430"/>
      <c r="S96"/>
      <c r="T96"/>
      <c r="U96" s="777"/>
      <c r="V96" s="308" t="s">
        <v>216</v>
      </c>
      <c r="W96" s="315"/>
      <c r="X96" s="315"/>
      <c r="Y96" s="315"/>
      <c r="Z96" s="363"/>
      <c r="AA96" s="363"/>
      <c r="AB96" s="356">
        <f>ROUND(AB94*AB95/100,1)</f>
        <v>0</v>
      </c>
      <c r="AC96" s="363"/>
      <c r="AD96" s="363"/>
      <c r="AE96" s="362"/>
      <c r="AF96" s="356">
        <f t="shared" ref="AF96" si="50">ROUND(AF94*AF95/100,1)</f>
        <v>0</v>
      </c>
      <c r="AG96" s="363"/>
      <c r="AH96" s="363"/>
      <c r="AI96" s="362"/>
      <c r="AJ96" s="356">
        <f t="shared" ref="AJ96" si="51">ROUND(AJ94*AJ95/100,1)</f>
        <v>0</v>
      </c>
      <c r="AK96" s="363"/>
      <c r="AL96" s="363"/>
      <c r="AM96" s="362"/>
      <c r="AN96" s="356">
        <f t="shared" ref="AN96" si="52">ROUND(AN94*AN95/100,1)</f>
        <v>0</v>
      </c>
      <c r="AO96" s="363"/>
      <c r="AP96" s="363"/>
      <c r="AQ96" s="362"/>
      <c r="AR96" s="356">
        <f t="shared" ref="AR96" si="53">ROUND(AR94*AR95/100,1)</f>
        <v>0</v>
      </c>
      <c r="AS96" s="363"/>
      <c r="AT96" s="363"/>
      <c r="AU96" s="362"/>
      <c r="AV96" s="356">
        <f t="shared" ref="AV96" si="54">ROUND(AV94*AV95/100,1)</f>
        <v>0</v>
      </c>
      <c r="AW96" s="363"/>
      <c r="AX96" s="363"/>
      <c r="AY96" s="362"/>
      <c r="AZ96" s="356">
        <f>SUM(AB96:AY96)</f>
        <v>0</v>
      </c>
      <c r="BA96" s="357"/>
      <c r="BB96" s="357"/>
      <c r="BC96" s="358"/>
      <c r="BD96"/>
      <c r="BE96"/>
    </row>
    <row r="97" spans="1:105" ht="20.25" customHeight="1">
      <c r="A97" s="495"/>
      <c r="B97" s="735"/>
      <c r="C97" s="425" t="s">
        <v>264</v>
      </c>
      <c r="D97" s="363"/>
      <c r="E97" s="362"/>
      <c r="F97" s="423"/>
      <c r="G97" s="423"/>
      <c r="H97" s="423"/>
      <c r="I97" s="423"/>
      <c r="J97" s="423"/>
      <c r="K97" s="423"/>
      <c r="L97" s="425" t="s">
        <v>277</v>
      </c>
      <c r="M97" s="426"/>
      <c r="N97" s="426"/>
      <c r="O97" s="427"/>
      <c r="P97" s="428"/>
      <c r="Q97" s="429"/>
      <c r="R97" s="430"/>
      <c r="S97"/>
      <c r="T97"/>
      <c r="U97" s="777"/>
      <c r="V97" s="308" t="s">
        <v>217</v>
      </c>
      <c r="W97" s="315"/>
      <c r="X97" s="315"/>
      <c r="Y97" s="315"/>
      <c r="Z97" s="363"/>
      <c r="AA97" s="363"/>
      <c r="AB97" s="356" t="str">
        <f>IF(AB96=0,"",ROUND(AB96/0.95*0.8157,1))</f>
        <v/>
      </c>
      <c r="AC97" s="363"/>
      <c r="AD97" s="363"/>
      <c r="AE97" s="362"/>
      <c r="AF97" s="356" t="str">
        <f t="shared" ref="AF97" si="55">IF(AF96=0,"",ROUND(AF96/0.95*0.8157,1))</f>
        <v/>
      </c>
      <c r="AG97" s="363"/>
      <c r="AH97" s="363"/>
      <c r="AI97" s="362"/>
      <c r="AJ97" s="356" t="str">
        <f t="shared" ref="AJ97" si="56">IF(AJ96=0,"",ROUND(AJ96/0.95*0.8157,1))</f>
        <v/>
      </c>
      <c r="AK97" s="363"/>
      <c r="AL97" s="363"/>
      <c r="AM97" s="362"/>
      <c r="AN97" s="356" t="str">
        <f t="shared" ref="AN97" si="57">IF(AN96=0,"",ROUND(AN96/0.95*0.8157,1))</f>
        <v/>
      </c>
      <c r="AO97" s="363"/>
      <c r="AP97" s="363"/>
      <c r="AQ97" s="362"/>
      <c r="AR97" s="356" t="str">
        <f t="shared" ref="AR97" si="58">IF(AR96=0,"",ROUND(AR96/0.95*0.8157,1))</f>
        <v/>
      </c>
      <c r="AS97" s="363"/>
      <c r="AT97" s="363"/>
      <c r="AU97" s="362"/>
      <c r="AV97" s="356" t="str">
        <f t="shared" ref="AV97" si="59">IF(AV96=0,"",ROUND(AV96/0.95*0.8157,1))</f>
        <v/>
      </c>
      <c r="AW97" s="363"/>
      <c r="AX97" s="363"/>
      <c r="AY97" s="362"/>
      <c r="AZ97" s="356" t="str">
        <f>IF(SUM(AB97:AY97)=0,"",SUM(AB97:AY97))</f>
        <v/>
      </c>
      <c r="BA97" s="357"/>
      <c r="BB97" s="357"/>
      <c r="BC97" s="358"/>
      <c r="BD97"/>
      <c r="BE97"/>
    </row>
    <row r="98" spans="1:105" ht="19.350000000000001" customHeight="1">
      <c r="A98" s="495"/>
      <c r="B98" s="735"/>
      <c r="C98" s="425" t="s">
        <v>265</v>
      </c>
      <c r="D98" s="363"/>
      <c r="E98" s="362"/>
      <c r="F98" s="423"/>
      <c r="G98" s="423"/>
      <c r="H98" s="423"/>
      <c r="I98" s="423"/>
      <c r="J98" s="423"/>
      <c r="K98" s="423"/>
      <c r="L98" s="425" t="s">
        <v>278</v>
      </c>
      <c r="M98" s="426"/>
      <c r="N98" s="426"/>
      <c r="O98" s="427"/>
      <c r="P98" s="428"/>
      <c r="Q98" s="429"/>
      <c r="R98" s="430"/>
      <c r="S98"/>
      <c r="T98"/>
      <c r="U98" s="777"/>
      <c r="V98" s="762" t="s">
        <v>288</v>
      </c>
      <c r="W98" s="779"/>
      <c r="X98" s="779"/>
      <c r="Y98" s="779"/>
      <c r="Z98" s="357"/>
      <c r="AA98" s="357"/>
      <c r="AB98" s="367" t="str">
        <f>IF($Y$71="","",ROUND(AB96*1000/$Y$71,1))</f>
        <v/>
      </c>
      <c r="AC98" s="368"/>
      <c r="AD98" s="368"/>
      <c r="AE98" s="369"/>
      <c r="AF98" s="367" t="str">
        <f t="shared" ref="AF98" si="60">IF($Y$71="","",ROUND(AF96*1000/$Y$71,1))</f>
        <v/>
      </c>
      <c r="AG98" s="368"/>
      <c r="AH98" s="368"/>
      <c r="AI98" s="369"/>
      <c r="AJ98" s="367" t="str">
        <f t="shared" ref="AJ98" si="61">IF($Y$71="","",ROUND(AJ96*1000/$Y$71,1))</f>
        <v/>
      </c>
      <c r="AK98" s="368"/>
      <c r="AL98" s="368"/>
      <c r="AM98" s="369"/>
      <c r="AN98" s="367" t="str">
        <f t="shared" ref="AN98" si="62">IF($Y$71="","",ROUND(AN96*1000/$Y$71,1))</f>
        <v/>
      </c>
      <c r="AO98" s="368"/>
      <c r="AP98" s="368"/>
      <c r="AQ98" s="369"/>
      <c r="AR98" s="367" t="str">
        <f t="shared" ref="AR98" si="63">IF($Y$71="","",ROUND(AR96*1000/$Y$71,1))</f>
        <v/>
      </c>
      <c r="AS98" s="368"/>
      <c r="AT98" s="368"/>
      <c r="AU98" s="369"/>
      <c r="AV98" s="367" t="str">
        <f t="shared" ref="AV98" si="64">IF($Y$71="","",ROUND(AV96*1000/$Y$71,1))</f>
        <v/>
      </c>
      <c r="AW98" s="368"/>
      <c r="AX98" s="368"/>
      <c r="AY98" s="369"/>
      <c r="AZ98" s="462" t="str">
        <f>IF(AB98="","",SUM(AB98:AY98))</f>
        <v/>
      </c>
      <c r="BA98" s="463"/>
      <c r="BB98" s="463"/>
      <c r="BC98" s="780"/>
      <c r="BD98"/>
      <c r="BE98"/>
    </row>
    <row r="99" spans="1:105" ht="20.25" customHeight="1">
      <c r="A99" s="495"/>
      <c r="B99" s="735"/>
      <c r="C99" s="425" t="s">
        <v>266</v>
      </c>
      <c r="D99" s="363"/>
      <c r="E99" s="362"/>
      <c r="F99" s="423"/>
      <c r="G99" s="423"/>
      <c r="H99" s="423"/>
      <c r="I99" s="423"/>
      <c r="J99" s="423"/>
      <c r="K99" s="423"/>
      <c r="L99" s="425" t="s">
        <v>279</v>
      </c>
      <c r="M99" s="426"/>
      <c r="N99" s="426"/>
      <c r="O99" s="427"/>
      <c r="P99" s="428"/>
      <c r="Q99" s="429"/>
      <c r="R99" s="430"/>
      <c r="S99"/>
      <c r="T99"/>
      <c r="U99" s="777"/>
      <c r="V99" s="371" t="s">
        <v>79</v>
      </c>
      <c r="W99" s="372"/>
      <c r="X99" s="372"/>
      <c r="Y99" s="372"/>
      <c r="Z99" s="363"/>
      <c r="AA99" s="363"/>
      <c r="AB99" s="361"/>
      <c r="AC99" s="363"/>
      <c r="AD99" s="363"/>
      <c r="AE99" s="234" t="s">
        <v>43</v>
      </c>
      <c r="AF99" s="361"/>
      <c r="AG99" s="363"/>
      <c r="AH99" s="363"/>
      <c r="AI99" s="234" t="s">
        <v>43</v>
      </c>
      <c r="AJ99" s="361"/>
      <c r="AK99" s="363"/>
      <c r="AL99" s="363"/>
      <c r="AM99" s="234" t="s">
        <v>43</v>
      </c>
      <c r="AN99" s="361"/>
      <c r="AO99" s="363"/>
      <c r="AP99" s="363"/>
      <c r="AQ99" s="234" t="s">
        <v>43</v>
      </c>
      <c r="AR99" s="361"/>
      <c r="AS99" s="363"/>
      <c r="AT99" s="363"/>
      <c r="AU99" s="234" t="s">
        <v>43</v>
      </c>
      <c r="AV99" s="361"/>
      <c r="AW99" s="363"/>
      <c r="AX99" s="363"/>
      <c r="AY99" s="234" t="s">
        <v>43</v>
      </c>
      <c r="AZ99" s="781"/>
      <c r="BA99" s="779"/>
      <c r="BB99" s="779"/>
      <c r="BC99" s="235" t="s">
        <v>43</v>
      </c>
      <c r="BD99"/>
      <c r="BE99"/>
    </row>
    <row r="100" spans="1:105" ht="20.25" customHeight="1">
      <c r="A100" s="495"/>
      <c r="B100" s="735"/>
      <c r="C100" s="425" t="s">
        <v>267</v>
      </c>
      <c r="D100" s="363"/>
      <c r="E100" s="362"/>
      <c r="F100" s="423"/>
      <c r="G100" s="423"/>
      <c r="H100" s="423"/>
      <c r="I100" s="423"/>
      <c r="J100" s="423"/>
      <c r="K100" s="423"/>
      <c r="L100" s="425" t="s">
        <v>280</v>
      </c>
      <c r="M100" s="426"/>
      <c r="N100" s="426"/>
      <c r="O100" s="427"/>
      <c r="P100" s="428"/>
      <c r="Q100" s="429"/>
      <c r="R100" s="430"/>
      <c r="S100"/>
      <c r="T100"/>
      <c r="U100" s="777"/>
      <c r="V100" s="371" t="s">
        <v>81</v>
      </c>
      <c r="W100" s="363"/>
      <c r="X100" s="363"/>
      <c r="Y100" s="363"/>
      <c r="Z100" s="363"/>
      <c r="AA100" s="363"/>
      <c r="AB100" s="370" t="s">
        <v>83</v>
      </c>
      <c r="AC100" s="362"/>
      <c r="AD100" s="370" t="s">
        <v>84</v>
      </c>
      <c r="AE100" s="362"/>
      <c r="AF100" s="370" t="s">
        <v>83</v>
      </c>
      <c r="AG100" s="362"/>
      <c r="AH100" s="370" t="s">
        <v>84</v>
      </c>
      <c r="AI100" s="362"/>
      <c r="AJ100" s="370" t="s">
        <v>83</v>
      </c>
      <c r="AK100" s="362"/>
      <c r="AL100" s="370" t="s">
        <v>84</v>
      </c>
      <c r="AM100" s="362"/>
      <c r="AN100" s="370" t="s">
        <v>83</v>
      </c>
      <c r="AO100" s="362"/>
      <c r="AP100" s="370" t="s">
        <v>84</v>
      </c>
      <c r="AQ100" s="362"/>
      <c r="AR100" s="370" t="s">
        <v>83</v>
      </c>
      <c r="AS100" s="362"/>
      <c r="AT100" s="370" t="s">
        <v>84</v>
      </c>
      <c r="AU100" s="362"/>
      <c r="AV100" s="370" t="s">
        <v>83</v>
      </c>
      <c r="AW100" s="362"/>
      <c r="AX100" s="370" t="s">
        <v>84</v>
      </c>
      <c r="AY100" s="362"/>
      <c r="AZ100" s="370" t="s">
        <v>83</v>
      </c>
      <c r="BA100" s="782"/>
      <c r="BB100" s="370" t="s">
        <v>84</v>
      </c>
      <c r="BC100" s="358"/>
      <c r="BD100"/>
      <c r="BE100"/>
    </row>
    <row r="101" spans="1:105" ht="20.25" customHeight="1">
      <c r="A101" s="495"/>
      <c r="B101" s="735"/>
      <c r="C101" s="560"/>
      <c r="D101" s="737"/>
      <c r="E101" s="738"/>
      <c r="F101" s="423"/>
      <c r="G101" s="423"/>
      <c r="H101" s="423"/>
      <c r="I101" s="423"/>
      <c r="J101" s="423"/>
      <c r="K101" s="423"/>
      <c r="L101" s="425" t="s">
        <v>281</v>
      </c>
      <c r="M101" s="426"/>
      <c r="N101" s="426"/>
      <c r="O101" s="427"/>
      <c r="P101" s="447"/>
      <c r="Q101" s="429"/>
      <c r="R101" s="430"/>
      <c r="S101"/>
      <c r="T101"/>
      <c r="U101" s="777"/>
      <c r="V101" s="371" t="s">
        <v>82</v>
      </c>
      <c r="W101" s="363"/>
      <c r="X101" s="363"/>
      <c r="Y101" s="363"/>
      <c r="Z101" s="363"/>
      <c r="AA101" s="363"/>
      <c r="AB101" s="361"/>
      <c r="AC101" s="362"/>
      <c r="AD101" s="361"/>
      <c r="AE101" s="362"/>
      <c r="AF101" s="361"/>
      <c r="AG101" s="362"/>
      <c r="AH101" s="361"/>
      <c r="AI101" s="362"/>
      <c r="AJ101" s="361"/>
      <c r="AK101" s="362"/>
      <c r="AL101" s="361"/>
      <c r="AM101" s="362"/>
      <c r="AN101" s="361"/>
      <c r="AO101" s="362"/>
      <c r="AP101" s="361"/>
      <c r="AQ101" s="362"/>
      <c r="AR101" s="361"/>
      <c r="AS101" s="362"/>
      <c r="AT101" s="361"/>
      <c r="AU101" s="362"/>
      <c r="AV101" s="361"/>
      <c r="AW101" s="362"/>
      <c r="AX101" s="361"/>
      <c r="AY101" s="362"/>
      <c r="AZ101" s="781"/>
      <c r="BA101" s="783"/>
      <c r="BB101" s="781"/>
      <c r="BC101" s="784"/>
      <c r="BD101"/>
      <c r="BE101"/>
    </row>
    <row r="102" spans="1:105" ht="20.25" customHeight="1">
      <c r="A102" s="495"/>
      <c r="B102" s="735"/>
      <c r="C102" s="560"/>
      <c r="D102" s="737"/>
      <c r="E102" s="738"/>
      <c r="F102" s="423"/>
      <c r="G102" s="423"/>
      <c r="H102" s="423"/>
      <c r="I102" s="423"/>
      <c r="J102" s="423"/>
      <c r="K102" s="423"/>
      <c r="L102" s="425" t="s">
        <v>282</v>
      </c>
      <c r="M102" s="426"/>
      <c r="N102" s="426"/>
      <c r="O102" s="427"/>
      <c r="P102" s="428"/>
      <c r="Q102" s="429"/>
      <c r="R102" s="430"/>
      <c r="S102"/>
      <c r="T102"/>
      <c r="U102" s="777"/>
      <c r="V102" s="371" t="s">
        <v>95</v>
      </c>
      <c r="W102" s="363"/>
      <c r="X102" s="363"/>
      <c r="Y102" s="363"/>
      <c r="Z102" s="363"/>
      <c r="AA102" s="363"/>
      <c r="AB102" s="361"/>
      <c r="AC102" s="362"/>
      <c r="AD102" s="361"/>
      <c r="AE102" s="362"/>
      <c r="AF102" s="361"/>
      <c r="AG102" s="362"/>
      <c r="AH102" s="361"/>
      <c r="AI102" s="362"/>
      <c r="AJ102" s="361"/>
      <c r="AK102" s="362"/>
      <c r="AL102" s="361"/>
      <c r="AM102" s="362"/>
      <c r="AN102" s="361"/>
      <c r="AO102" s="362"/>
      <c r="AP102" s="361"/>
      <c r="AQ102" s="362"/>
      <c r="AR102" s="361"/>
      <c r="AS102" s="362"/>
      <c r="AT102" s="361"/>
      <c r="AU102" s="362"/>
      <c r="AV102" s="361"/>
      <c r="AW102" s="362"/>
      <c r="AX102" s="361"/>
      <c r="AY102" s="362"/>
      <c r="AZ102" s="781"/>
      <c r="BA102" s="783"/>
      <c r="BB102" s="781"/>
      <c r="BC102" s="784"/>
      <c r="BD102"/>
      <c r="BE102"/>
    </row>
    <row r="103" spans="1:105" ht="20.25" customHeight="1">
      <c r="A103" s="495"/>
      <c r="B103" s="735"/>
      <c r="C103" s="560"/>
      <c r="D103" s="737"/>
      <c r="E103" s="738"/>
      <c r="F103" s="423"/>
      <c r="G103" s="423"/>
      <c r="H103" s="423"/>
      <c r="I103" s="423"/>
      <c r="J103" s="423"/>
      <c r="K103" s="423"/>
      <c r="L103" s="425" t="s">
        <v>285</v>
      </c>
      <c r="M103" s="426"/>
      <c r="N103" s="426"/>
      <c r="O103" s="427"/>
      <c r="P103" s="428"/>
      <c r="Q103" s="429"/>
      <c r="R103" s="430"/>
      <c r="S103"/>
      <c r="T103"/>
      <c r="U103" s="777"/>
      <c r="V103" s="371" t="s">
        <v>25</v>
      </c>
      <c r="W103" s="363"/>
      <c r="X103" s="363"/>
      <c r="Y103" s="363"/>
      <c r="Z103" s="363"/>
      <c r="AA103" s="363"/>
      <c r="AB103" s="361"/>
      <c r="AC103" s="362"/>
      <c r="AD103" s="361"/>
      <c r="AE103" s="362"/>
      <c r="AF103" s="361"/>
      <c r="AG103" s="362"/>
      <c r="AH103" s="361"/>
      <c r="AI103" s="362"/>
      <c r="AJ103" s="361"/>
      <c r="AK103" s="362"/>
      <c r="AL103" s="361"/>
      <c r="AM103" s="362"/>
      <c r="AN103" s="361"/>
      <c r="AO103" s="362"/>
      <c r="AP103" s="361"/>
      <c r="AQ103" s="362"/>
      <c r="AR103" s="361"/>
      <c r="AS103" s="362"/>
      <c r="AT103" s="361"/>
      <c r="AU103" s="362"/>
      <c r="AV103" s="361"/>
      <c r="AW103" s="362"/>
      <c r="AX103" s="361"/>
      <c r="AY103" s="362"/>
      <c r="AZ103" s="781"/>
      <c r="BA103" s="783"/>
      <c r="BB103" s="781"/>
      <c r="BC103" s="784"/>
      <c r="BD103"/>
      <c r="BE103"/>
    </row>
    <row r="104" spans="1:105" ht="20.25" customHeight="1">
      <c r="A104" s="495"/>
      <c r="B104" s="735"/>
      <c r="C104" s="560"/>
      <c r="D104" s="737"/>
      <c r="E104" s="738"/>
      <c r="F104" s="423"/>
      <c r="G104" s="423"/>
      <c r="H104" s="423"/>
      <c r="I104" s="423"/>
      <c r="J104" s="423"/>
      <c r="K104" s="423"/>
      <c r="L104" s="425" t="s">
        <v>283</v>
      </c>
      <c r="M104" s="426"/>
      <c r="N104" s="426"/>
      <c r="O104" s="427"/>
      <c r="P104" s="428"/>
      <c r="Q104" s="429"/>
      <c r="R104" s="430"/>
      <c r="S104"/>
      <c r="T104"/>
      <c r="U104" s="777"/>
      <c r="V104" s="371" t="s">
        <v>2</v>
      </c>
      <c r="W104" s="363"/>
      <c r="X104" s="363"/>
      <c r="Y104" s="363"/>
      <c r="Z104" s="363"/>
      <c r="AA104" s="363"/>
      <c r="AB104" s="361"/>
      <c r="AC104" s="362"/>
      <c r="AD104" s="361"/>
      <c r="AE104" s="362"/>
      <c r="AF104" s="361"/>
      <c r="AG104" s="362"/>
      <c r="AH104" s="361"/>
      <c r="AI104" s="362"/>
      <c r="AJ104" s="361"/>
      <c r="AK104" s="362"/>
      <c r="AL104" s="361"/>
      <c r="AM104" s="362"/>
      <c r="AN104" s="361"/>
      <c r="AO104" s="362"/>
      <c r="AP104" s="361"/>
      <c r="AQ104" s="362"/>
      <c r="AR104" s="361"/>
      <c r="AS104" s="362"/>
      <c r="AT104" s="361"/>
      <c r="AU104" s="362"/>
      <c r="AV104" s="361"/>
      <c r="AW104" s="362"/>
      <c r="AX104" s="361"/>
      <c r="AY104" s="362"/>
      <c r="AZ104" s="781"/>
      <c r="BA104" s="783"/>
      <c r="BB104" s="781"/>
      <c r="BC104" s="784"/>
      <c r="BD104"/>
      <c r="BE104"/>
    </row>
    <row r="105" spans="1:105" ht="19.350000000000001" customHeight="1">
      <c r="A105" s="495"/>
      <c r="B105" s="735"/>
      <c r="C105" s="560"/>
      <c r="D105" s="737"/>
      <c r="E105" s="738"/>
      <c r="F105" s="423"/>
      <c r="G105" s="423"/>
      <c r="H105" s="423"/>
      <c r="I105" s="423"/>
      <c r="J105" s="423"/>
      <c r="K105" s="423"/>
      <c r="L105" s="425" t="s">
        <v>286</v>
      </c>
      <c r="M105" s="426"/>
      <c r="N105" s="426"/>
      <c r="O105" s="427"/>
      <c r="P105" s="428"/>
      <c r="Q105" s="429"/>
      <c r="R105" s="430"/>
      <c r="S105"/>
      <c r="T105"/>
      <c r="U105" s="777"/>
      <c r="V105" s="371" t="s">
        <v>146</v>
      </c>
      <c r="W105" s="363"/>
      <c r="X105" s="363"/>
      <c r="Y105" s="363"/>
      <c r="Z105" s="363"/>
      <c r="AA105" s="363"/>
      <c r="AB105" s="361"/>
      <c r="AC105" s="362"/>
      <c r="AD105" s="361"/>
      <c r="AE105" s="362"/>
      <c r="AF105" s="361"/>
      <c r="AG105" s="362"/>
      <c r="AH105" s="361"/>
      <c r="AI105" s="362"/>
      <c r="AJ105" s="361"/>
      <c r="AK105" s="362"/>
      <c r="AL105" s="361"/>
      <c r="AM105" s="362"/>
      <c r="AN105" s="361"/>
      <c r="AO105" s="362"/>
      <c r="AP105" s="361"/>
      <c r="AQ105" s="362"/>
      <c r="AR105" s="361"/>
      <c r="AS105" s="362"/>
      <c r="AT105" s="361"/>
      <c r="AU105" s="362"/>
      <c r="AV105" s="361"/>
      <c r="AW105" s="362"/>
      <c r="AX105" s="361"/>
      <c r="AY105" s="362"/>
      <c r="AZ105" s="781"/>
      <c r="BA105" s="783"/>
      <c r="BB105" s="781"/>
      <c r="BC105" s="784"/>
      <c r="BD105"/>
      <c r="BE105"/>
    </row>
    <row r="106" spans="1:105" ht="19.350000000000001" customHeight="1">
      <c r="A106" s="495"/>
      <c r="B106" s="735"/>
      <c r="C106" s="560"/>
      <c r="D106" s="737"/>
      <c r="E106" s="738"/>
      <c r="F106" s="423"/>
      <c r="G106" s="423"/>
      <c r="H106" s="423"/>
      <c r="I106" s="423"/>
      <c r="J106" s="423"/>
      <c r="K106" s="423"/>
      <c r="L106" s="425" t="s">
        <v>281</v>
      </c>
      <c r="M106" s="426"/>
      <c r="N106" s="426"/>
      <c r="O106" s="427"/>
      <c r="P106" s="447"/>
      <c r="Q106" s="429"/>
      <c r="R106" s="430"/>
      <c r="S106"/>
      <c r="T106"/>
      <c r="U106" s="777"/>
      <c r="V106" s="308" t="s">
        <v>218</v>
      </c>
      <c r="W106" s="774"/>
      <c r="X106" s="774"/>
      <c r="Y106" s="774"/>
      <c r="Z106" s="363"/>
      <c r="AA106" s="363"/>
      <c r="AB106" s="356" t="str">
        <f>IF(AB105=0,"",IF(AD105=0,"",AD105-AB105))</f>
        <v/>
      </c>
      <c r="AC106" s="363"/>
      <c r="AD106" s="363"/>
      <c r="AE106" s="362"/>
      <c r="AF106" s="356" t="str">
        <f>IF(AF105=0,"",IF(AH105=0,"",AH105-AF105))</f>
        <v/>
      </c>
      <c r="AG106" s="363"/>
      <c r="AH106" s="363"/>
      <c r="AI106" s="362"/>
      <c r="AJ106" s="356" t="str">
        <f>IF(AJ105=0,"",IF(AL105=0,"",AL105-AJ105))</f>
        <v/>
      </c>
      <c r="AK106" s="363"/>
      <c r="AL106" s="363"/>
      <c r="AM106" s="362"/>
      <c r="AN106" s="356" t="str">
        <f>IF(AN105=0,"",IF(AP105=0,"",AP105-AN105))</f>
        <v/>
      </c>
      <c r="AO106" s="363"/>
      <c r="AP106" s="363"/>
      <c r="AQ106" s="362"/>
      <c r="AR106" s="356" t="str">
        <f>IF(AR105=0,"",IF(AT105=0,"",AT105-AR105))</f>
        <v/>
      </c>
      <c r="AS106" s="363"/>
      <c r="AT106" s="363"/>
      <c r="AU106" s="362"/>
      <c r="AV106" s="356" t="str">
        <f>IF(AV105=0,"",IF(AX105=0,"",AX105-AV105))</f>
        <v/>
      </c>
      <c r="AW106" s="363"/>
      <c r="AX106" s="363"/>
      <c r="AY106" s="362"/>
      <c r="AZ106" s="356" t="str">
        <f>IF(AB106="","",SUM(AB106:AY106))</f>
        <v/>
      </c>
      <c r="BA106" s="357"/>
      <c r="BB106" s="357"/>
      <c r="BC106" s="358"/>
      <c r="BD106"/>
      <c r="BE106"/>
    </row>
    <row r="107" spans="1:105" ht="19.350000000000001" customHeight="1" thickBot="1">
      <c r="A107" s="495"/>
      <c r="B107" s="736"/>
      <c r="C107" s="425" t="s">
        <v>268</v>
      </c>
      <c r="D107" s="363"/>
      <c r="E107" s="362"/>
      <c r="F107" s="425"/>
      <c r="G107" s="363"/>
      <c r="H107" s="362"/>
      <c r="I107" s="423"/>
      <c r="J107" s="423"/>
      <c r="K107" s="423"/>
      <c r="L107" s="425" t="s">
        <v>282</v>
      </c>
      <c r="M107" s="426"/>
      <c r="N107" s="426"/>
      <c r="O107" s="427"/>
      <c r="P107" s="428"/>
      <c r="Q107" s="429"/>
      <c r="R107" s="430"/>
      <c r="S107"/>
      <c r="T107"/>
      <c r="U107" s="778"/>
      <c r="V107" s="551" t="s">
        <v>219</v>
      </c>
      <c r="W107" s="775"/>
      <c r="X107" s="775"/>
      <c r="Y107" s="775"/>
      <c r="Z107" s="454"/>
      <c r="AA107" s="454"/>
      <c r="AB107" s="453" t="str">
        <f>IF(AB94=0,"",IF(AB106=0,"",ROUND(AB106/AB94*100,1)))</f>
        <v/>
      </c>
      <c r="AC107" s="454"/>
      <c r="AD107" s="454"/>
      <c r="AE107" s="455"/>
      <c r="AF107" s="453" t="str">
        <f t="shared" ref="AF107" si="65">IF(AF94=0,"",IF(AF106=0,"",ROUND(AF106/AF94*100,1)))</f>
        <v/>
      </c>
      <c r="AG107" s="454"/>
      <c r="AH107" s="454"/>
      <c r="AI107" s="455"/>
      <c r="AJ107" s="453" t="str">
        <f t="shared" ref="AJ107" si="66">IF(AJ94=0,"",IF(AJ106=0,"",ROUND(AJ106/AJ94*100,1)))</f>
        <v/>
      </c>
      <c r="AK107" s="454"/>
      <c r="AL107" s="454"/>
      <c r="AM107" s="455"/>
      <c r="AN107" s="453" t="str">
        <f t="shared" ref="AN107" si="67">IF(AN94=0,"",IF(AN106=0,"",ROUND(AN106/AN94*100,1)))</f>
        <v/>
      </c>
      <c r="AO107" s="454"/>
      <c r="AP107" s="454"/>
      <c r="AQ107" s="455"/>
      <c r="AR107" s="453" t="str">
        <f t="shared" ref="AR107" si="68">IF(AR94=0,"",IF(AR106=0,"",ROUND(AR106/AR94*100,1)))</f>
        <v/>
      </c>
      <c r="AS107" s="454"/>
      <c r="AT107" s="454"/>
      <c r="AU107" s="455"/>
      <c r="AV107" s="453" t="str">
        <f t="shared" ref="AV107" si="69">IF(AV94=0,"",IF(AV106=0,"",ROUND(AV106/AV94*100,1)))</f>
        <v/>
      </c>
      <c r="AW107" s="454"/>
      <c r="AX107" s="454"/>
      <c r="AY107" s="455"/>
      <c r="AZ107" s="785"/>
      <c r="BA107" s="381"/>
      <c r="BB107" s="381"/>
      <c r="BC107" s="786"/>
      <c r="BD107"/>
      <c r="BE107"/>
    </row>
    <row r="108" spans="1:105" ht="19.350000000000001" customHeight="1" thickBot="1">
      <c r="A108" s="496"/>
      <c r="B108" s="521" t="s">
        <v>270</v>
      </c>
      <c r="C108" s="381"/>
      <c r="D108" s="381"/>
      <c r="E108" s="455"/>
      <c r="F108" s="424" t="str">
        <f>IF(SUM(F95:H106)=0,"",SUM(F95:H106))</f>
        <v/>
      </c>
      <c r="G108" s="424"/>
      <c r="H108" s="424"/>
      <c r="I108" s="424" t="str">
        <f>IF(SUM(I95:K107)=0,"",SUM(I95:K106))</f>
        <v/>
      </c>
      <c r="J108" s="424"/>
      <c r="K108" s="424"/>
      <c r="L108" s="394" t="s">
        <v>285</v>
      </c>
      <c r="M108" s="448"/>
      <c r="N108" s="448"/>
      <c r="O108" s="449"/>
      <c r="P108" s="431"/>
      <c r="Q108" s="432"/>
      <c r="R108" s="433"/>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row>
    <row r="109" spans="1:105" ht="19.350000000000001" customHeight="1">
      <c r="A109" s="249"/>
      <c r="B109" s="39"/>
      <c r="C109" s="39"/>
      <c r="D109" s="39"/>
      <c r="F109" s="243"/>
      <c r="G109" s="243"/>
      <c r="H109" s="243"/>
      <c r="I109" s="243"/>
      <c r="J109" s="243"/>
      <c r="K109" s="243"/>
      <c r="L109" s="243"/>
      <c r="M109" s="243"/>
      <c r="N109" s="243"/>
      <c r="O109" s="243"/>
      <c r="P109" s="243"/>
      <c r="Q109" s="243"/>
      <c r="R109" s="243"/>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row>
    <row r="110" spans="1:105" ht="20.25" customHeight="1" thickBot="1">
      <c r="A110" s="46"/>
      <c r="B110" s="39"/>
      <c r="C110" s="39"/>
      <c r="J110" s="244" t="s">
        <v>302</v>
      </c>
      <c r="Z110" s="244" t="s">
        <v>302</v>
      </c>
      <c r="AP110" s="40"/>
      <c r="AQ110" s="40"/>
      <c r="AR110" s="40"/>
      <c r="AS110" s="40"/>
      <c r="AT110" s="40"/>
      <c r="AU110" s="40"/>
      <c r="AV110" s="40"/>
      <c r="AW110" s="40"/>
      <c r="AX110" s="40"/>
      <c r="AY110" s="40"/>
      <c r="AZ110" s="40"/>
      <c r="BA110" s="40"/>
      <c r="BB110" s="40"/>
    </row>
    <row r="111" spans="1:105" ht="20.25" customHeight="1">
      <c r="E111" s="348" t="s">
        <v>94</v>
      </c>
      <c r="F111" s="506" t="s">
        <v>103</v>
      </c>
      <c r="G111" s="507"/>
      <c r="H111" s="507"/>
      <c r="I111" s="508"/>
      <c r="J111" s="509"/>
      <c r="K111" s="509"/>
      <c r="L111" s="508"/>
      <c r="M111" s="509"/>
      <c r="N111" s="509"/>
      <c r="O111" s="508"/>
      <c r="P111" s="509"/>
      <c r="Q111" s="805"/>
      <c r="U111" s="510" t="s">
        <v>101</v>
      </c>
      <c r="V111" s="507" t="s">
        <v>102</v>
      </c>
      <c r="W111" s="507"/>
      <c r="X111" s="507"/>
      <c r="Y111" s="513"/>
      <c r="Z111" s="359"/>
      <c r="AA111" s="359"/>
      <c r="AB111" s="514"/>
      <c r="AC111" s="515"/>
      <c r="AD111" s="515"/>
      <c r="AE111" s="516"/>
      <c r="AF111" s="517"/>
      <c r="AG111" s="517"/>
      <c r="AH111" s="507" t="s">
        <v>111</v>
      </c>
      <c r="AI111" s="507"/>
      <c r="AJ111" s="518"/>
      <c r="AM111" s="348" t="s">
        <v>107</v>
      </c>
      <c r="AN111" s="442" t="s">
        <v>104</v>
      </c>
      <c r="AO111" s="442"/>
      <c r="AP111" s="442"/>
      <c r="AQ111" s="442"/>
      <c r="AR111" s="359"/>
      <c r="AS111" s="359"/>
      <c r="AT111" s="360"/>
      <c r="AX111"/>
      <c r="AY111"/>
      <c r="CV111" s="2"/>
      <c r="CW111" s="2"/>
      <c r="CX111" s="2"/>
      <c r="CY111" s="2"/>
      <c r="CZ111" s="2"/>
      <c r="DA111" s="2"/>
    </row>
    <row r="112" spans="1:105" ht="20.25" customHeight="1">
      <c r="E112" s="349"/>
      <c r="F112" s="412" t="s">
        <v>79</v>
      </c>
      <c r="G112" s="403"/>
      <c r="H112" s="403"/>
      <c r="I112" s="413"/>
      <c r="J112" s="413"/>
      <c r="K112" s="236" t="s">
        <v>43</v>
      </c>
      <c r="L112" s="413"/>
      <c r="M112" s="413"/>
      <c r="N112" s="236" t="s">
        <v>43</v>
      </c>
      <c r="O112" s="413"/>
      <c r="P112" s="413"/>
      <c r="Q112" s="237" t="s">
        <v>43</v>
      </c>
      <c r="U112" s="511"/>
      <c r="V112" s="403" t="s">
        <v>79</v>
      </c>
      <c r="W112" s="403"/>
      <c r="X112" s="403"/>
      <c r="Y112" s="414"/>
      <c r="Z112" s="415"/>
      <c r="AA112" s="179" t="s">
        <v>43</v>
      </c>
      <c r="AB112" s="416"/>
      <c r="AC112" s="415"/>
      <c r="AD112" s="178" t="s">
        <v>43</v>
      </c>
      <c r="AE112" s="414"/>
      <c r="AF112" s="415"/>
      <c r="AG112" s="179" t="s">
        <v>43</v>
      </c>
      <c r="AH112" s="519"/>
      <c r="AI112" s="519"/>
      <c r="AJ112" s="520"/>
      <c r="AM112" s="349"/>
      <c r="AN112" s="307" t="s">
        <v>105</v>
      </c>
      <c r="AO112" s="307"/>
      <c r="AP112" s="307"/>
      <c r="AQ112" s="307"/>
      <c r="AR112" s="443"/>
      <c r="AS112" s="443"/>
      <c r="AT112" s="444"/>
      <c r="AX112"/>
      <c r="AY112"/>
      <c r="CV112" s="2"/>
      <c r="CW112" s="2"/>
      <c r="CX112" s="2"/>
      <c r="CY112" s="2"/>
      <c r="CZ112" s="2"/>
      <c r="DA112" s="2"/>
    </row>
    <row r="113" spans="1:105" ht="20.25" customHeight="1">
      <c r="E113" s="349"/>
      <c r="F113" s="412" t="s">
        <v>82</v>
      </c>
      <c r="G113" s="403"/>
      <c r="H113" s="403"/>
      <c r="I113" s="402"/>
      <c r="J113" s="402"/>
      <c r="K113" s="402"/>
      <c r="L113" s="402"/>
      <c r="M113" s="402"/>
      <c r="N113" s="402"/>
      <c r="O113" s="402"/>
      <c r="P113" s="402"/>
      <c r="Q113" s="410"/>
      <c r="U113" s="511"/>
      <c r="V113" s="403" t="s">
        <v>82</v>
      </c>
      <c r="W113" s="403"/>
      <c r="X113" s="403"/>
      <c r="Y113" s="401"/>
      <c r="Z113" s="401"/>
      <c r="AA113" s="401"/>
      <c r="AB113" s="401"/>
      <c r="AC113" s="401"/>
      <c r="AD113" s="401"/>
      <c r="AE113" s="402"/>
      <c r="AF113" s="402"/>
      <c r="AG113" s="402"/>
      <c r="AH113" s="519"/>
      <c r="AI113" s="519"/>
      <c r="AJ113" s="520"/>
      <c r="AM113" s="349"/>
      <c r="AN113" s="307" t="s">
        <v>156</v>
      </c>
      <c r="AO113" s="307"/>
      <c r="AP113" s="307"/>
      <c r="AQ113" s="307"/>
      <c r="AR113" s="445" t="str">
        <f>IF(AR111="","",AR111-AR112)</f>
        <v/>
      </c>
      <c r="AS113" s="445"/>
      <c r="AT113" s="446"/>
      <c r="AX113"/>
      <c r="AY113"/>
      <c r="CV113" s="2"/>
      <c r="CW113" s="2"/>
      <c r="CX113" s="2"/>
      <c r="CY113" s="2"/>
      <c r="CZ113" s="2"/>
      <c r="DA113" s="2"/>
    </row>
    <row r="114" spans="1:105" ht="20.25" customHeight="1">
      <c r="E114" s="349"/>
      <c r="F114" s="412" t="s">
        <v>95</v>
      </c>
      <c r="G114" s="403"/>
      <c r="H114" s="403"/>
      <c r="I114" s="402"/>
      <c r="J114" s="402"/>
      <c r="K114" s="402"/>
      <c r="L114" s="402"/>
      <c r="M114" s="402"/>
      <c r="N114" s="402"/>
      <c r="O114" s="402"/>
      <c r="P114" s="402"/>
      <c r="Q114" s="410"/>
      <c r="U114" s="511"/>
      <c r="V114" s="403" t="s">
        <v>95</v>
      </c>
      <c r="W114" s="403"/>
      <c r="X114" s="403"/>
      <c r="Y114" s="401"/>
      <c r="Z114" s="401"/>
      <c r="AA114" s="401"/>
      <c r="AB114" s="401"/>
      <c r="AC114" s="401"/>
      <c r="AD114" s="401"/>
      <c r="AE114" s="402"/>
      <c r="AF114" s="402"/>
      <c r="AG114" s="402"/>
      <c r="AH114" s="519"/>
      <c r="AI114" s="519"/>
      <c r="AJ114" s="520"/>
      <c r="AM114" s="349"/>
      <c r="AN114" s="307" t="s">
        <v>106</v>
      </c>
      <c r="AO114" s="307"/>
      <c r="AP114" s="307"/>
      <c r="AQ114" s="307"/>
      <c r="AR114" s="443"/>
      <c r="AS114" s="443"/>
      <c r="AT114" s="444"/>
      <c r="AX114"/>
      <c r="AY114"/>
      <c r="AZ114"/>
    </row>
    <row r="115" spans="1:105" ht="20.25" customHeight="1" thickBot="1">
      <c r="E115" s="349"/>
      <c r="F115" s="412" t="s">
        <v>146</v>
      </c>
      <c r="G115" s="403"/>
      <c r="H115" s="403"/>
      <c r="I115" s="402"/>
      <c r="J115" s="402"/>
      <c r="K115" s="402"/>
      <c r="L115" s="402"/>
      <c r="M115" s="402"/>
      <c r="N115" s="402"/>
      <c r="O115" s="402"/>
      <c r="P115" s="402"/>
      <c r="Q115" s="410"/>
      <c r="U115" s="511"/>
      <c r="V115" s="403" t="s">
        <v>146</v>
      </c>
      <c r="W115" s="403"/>
      <c r="X115" s="403"/>
      <c r="Y115" s="401"/>
      <c r="Z115" s="401"/>
      <c r="AA115" s="401"/>
      <c r="AB115" s="401"/>
      <c r="AC115" s="401"/>
      <c r="AD115" s="401"/>
      <c r="AE115" s="402"/>
      <c r="AF115" s="402"/>
      <c r="AG115" s="402"/>
      <c r="AH115" s="420" t="str">
        <f>IF(SUM(Y115:AG115)=0,"",SUM(Y115:AG115))</f>
        <v/>
      </c>
      <c r="AI115" s="420"/>
      <c r="AJ115" s="421"/>
      <c r="AM115" s="441"/>
      <c r="AN115" s="422" t="s">
        <v>155</v>
      </c>
      <c r="AO115" s="422"/>
      <c r="AP115" s="422"/>
      <c r="AQ115" s="422"/>
      <c r="AR115" s="439" t="str">
        <f>IF(AR113="","",IF(AR114="",ROUND(AR113/1.1,1),ROUND(AR113/AR114,1)))</f>
        <v/>
      </c>
      <c r="AS115" s="439"/>
      <c r="AT115" s="440"/>
      <c r="AX115"/>
      <c r="AY115"/>
      <c r="AZ115"/>
    </row>
    <row r="116" spans="1:105" ht="19.350000000000001" customHeight="1" thickBot="1">
      <c r="E116" s="349"/>
      <c r="F116" s="412" t="s">
        <v>96</v>
      </c>
      <c r="G116" s="403"/>
      <c r="H116" s="403"/>
      <c r="I116" s="402"/>
      <c r="J116" s="402"/>
      <c r="K116" s="402"/>
      <c r="L116" s="402"/>
      <c r="M116" s="402"/>
      <c r="N116" s="402"/>
      <c r="O116" s="402"/>
      <c r="P116" s="402"/>
      <c r="Q116" s="410"/>
      <c r="U116" s="511"/>
      <c r="V116" s="403" t="s">
        <v>96</v>
      </c>
      <c r="W116" s="403"/>
      <c r="X116" s="403"/>
      <c r="Y116" s="401"/>
      <c r="Z116" s="401"/>
      <c r="AA116" s="401"/>
      <c r="AB116" s="401"/>
      <c r="AC116" s="401"/>
      <c r="AD116" s="401"/>
      <c r="AE116" s="402"/>
      <c r="AF116" s="402"/>
      <c r="AG116" s="402"/>
      <c r="AH116" s="403"/>
      <c r="AI116" s="403"/>
      <c r="AJ116" s="404"/>
      <c r="AN116"/>
      <c r="AO116"/>
      <c r="AP116" s="49"/>
      <c r="AU116"/>
      <c r="AV116"/>
      <c r="AW116"/>
      <c r="AX116"/>
      <c r="AY116"/>
      <c r="AZ116"/>
    </row>
    <row r="117" spans="1:105" ht="20.25" customHeight="1">
      <c r="E117" s="349"/>
      <c r="F117" s="412" t="s">
        <v>2</v>
      </c>
      <c r="G117" s="403"/>
      <c r="H117" s="403"/>
      <c r="I117" s="402"/>
      <c r="J117" s="402"/>
      <c r="K117" s="402"/>
      <c r="L117" s="402"/>
      <c r="M117" s="402"/>
      <c r="N117" s="402"/>
      <c r="O117" s="402"/>
      <c r="P117" s="402"/>
      <c r="Q117" s="410"/>
      <c r="U117" s="511"/>
      <c r="V117" s="403" t="s">
        <v>2</v>
      </c>
      <c r="W117" s="403"/>
      <c r="X117" s="403"/>
      <c r="Y117" s="401"/>
      <c r="Z117" s="401"/>
      <c r="AA117" s="401"/>
      <c r="AB117" s="401"/>
      <c r="AC117" s="401"/>
      <c r="AD117" s="401"/>
      <c r="AE117" s="402"/>
      <c r="AF117" s="402"/>
      <c r="AG117" s="402"/>
      <c r="AH117" s="403"/>
      <c r="AI117" s="403"/>
      <c r="AJ117" s="404"/>
      <c r="AM117" s="376" t="s">
        <v>110</v>
      </c>
      <c r="AN117" s="405" t="s">
        <v>109</v>
      </c>
      <c r="AO117" s="406"/>
      <c r="AP117" s="406"/>
      <c r="AQ117" s="397"/>
      <c r="AR117" s="388" t="str">
        <f>IF(N36="","",IF(SUM(D74:O74)=0,"",IF(SUM(D71:O71)=0,"",ROUND((N36-SUM(D74:O74))/SUM(D71:O71),3))))</f>
        <v/>
      </c>
      <c r="AS117" s="397"/>
      <c r="AT117" s="405" t="s">
        <v>113</v>
      </c>
      <c r="AU117" s="406"/>
      <c r="AV117" s="406"/>
      <c r="AW117" s="407"/>
      <c r="AX117" s="397"/>
      <c r="AY117" s="388" t="str">
        <f>IF(AR113="","",IF(Y71="","",ROUND(AR113/Y71,3)))</f>
        <v/>
      </c>
      <c r="AZ117" s="389"/>
    </row>
    <row r="118" spans="1:105" ht="19.350000000000001" customHeight="1">
      <c r="E118" s="349"/>
      <c r="F118" s="417" t="s">
        <v>245</v>
      </c>
      <c r="G118" s="418"/>
      <c r="H118" s="418"/>
      <c r="I118" s="408" t="str">
        <f>IF(I115="","",IF(I116="","",ROUND(I115*I116/100,1)))</f>
        <v/>
      </c>
      <c r="J118" s="408"/>
      <c r="K118" s="408"/>
      <c r="L118" s="408" t="str">
        <f>IF(L115="","",IF(L116="","",ROUND(L115*L116/100,1)))</f>
        <v/>
      </c>
      <c r="M118" s="408"/>
      <c r="N118" s="408"/>
      <c r="O118" s="408" t="str">
        <f>IF(O115="","",IF(O116="","",ROUND(O115*O116/100,1)))</f>
        <v/>
      </c>
      <c r="P118" s="408"/>
      <c r="Q118" s="409"/>
      <c r="U118" s="511"/>
      <c r="V118" s="419" t="s">
        <v>245</v>
      </c>
      <c r="W118" s="418"/>
      <c r="X118" s="418"/>
      <c r="Y118" s="420" t="str">
        <f>IF(Y115="","",IF(Y116="","",ROUND(Y115*Y116/100,1)))</f>
        <v/>
      </c>
      <c r="Z118" s="420"/>
      <c r="AA118" s="420"/>
      <c r="AB118" s="420" t="str">
        <f>IF(AB115="","",IF(AB116="","",ROUND(AB115*AB116/100,1)))</f>
        <v/>
      </c>
      <c r="AC118" s="420"/>
      <c r="AD118" s="420"/>
      <c r="AE118" s="420" t="str">
        <f>IF(AE115="","",IF(AE116="","",ROUND(AE115*AE116/100,1)))</f>
        <v/>
      </c>
      <c r="AF118" s="420"/>
      <c r="AG118" s="420"/>
      <c r="AH118" s="420" t="str">
        <f>IF(SUM(Y118:AG118)=0,"",SUM(Y118:AG118))</f>
        <v/>
      </c>
      <c r="AI118" s="420"/>
      <c r="AJ118" s="421"/>
      <c r="AM118" s="377"/>
      <c r="AN118" s="371" t="s">
        <v>114</v>
      </c>
      <c r="AO118" s="372"/>
      <c r="AP118" s="372"/>
      <c r="AQ118" s="362"/>
      <c r="AR118" s="382" t="str">
        <f>IF(SUM(I115:Q115)=0,"",IF(Y71="","",ROUND(SUM(I115:Q115)/Y71,4)))</f>
        <v/>
      </c>
      <c r="AS118" s="362"/>
      <c r="AT118" s="371" t="s">
        <v>120</v>
      </c>
      <c r="AU118" s="372"/>
      <c r="AV118" s="372"/>
      <c r="AW118" s="363"/>
      <c r="AX118" s="362"/>
      <c r="AY118" s="382" t="str">
        <f>IF(SUM(I115:Q115)=0,"",IF(Y71="","",IF(Y74="","",IF(SUM(L115:Q115)+SUM(S39:BE39)=0,ROUND((I115-Y74-AZ94)/Y71,3),"手入力してください"))))</f>
        <v/>
      </c>
      <c r="AZ118" s="390"/>
    </row>
    <row r="119" spans="1:105" ht="19.350000000000001" customHeight="1">
      <c r="E119" s="349"/>
      <c r="F119" s="412" t="s">
        <v>0</v>
      </c>
      <c r="G119" s="403"/>
      <c r="H119" s="403"/>
      <c r="I119" s="402"/>
      <c r="J119" s="402"/>
      <c r="K119" s="402"/>
      <c r="L119" s="402"/>
      <c r="M119" s="402"/>
      <c r="N119" s="402"/>
      <c r="O119" s="402"/>
      <c r="P119" s="402"/>
      <c r="Q119" s="410"/>
      <c r="U119" s="511"/>
      <c r="V119" s="436" t="s">
        <v>157</v>
      </c>
      <c r="W119" s="437"/>
      <c r="X119" s="437"/>
      <c r="Y119" s="438" t="str">
        <f>IF(D208="","",ROUNDDOWN(D208+Y116*1.5848,1))</f>
        <v/>
      </c>
      <c r="Z119" s="438"/>
      <c r="AA119" s="438"/>
      <c r="AB119" s="438" t="str">
        <f>IF(G208="","",ROUNDDOWN(G208+AB116*1.5848,1))</f>
        <v/>
      </c>
      <c r="AC119" s="438"/>
      <c r="AD119" s="438"/>
      <c r="AE119" s="438" t="str">
        <f>IF(J208="","",ROUNDDOWN(J208+AE116*1.5848,1))</f>
        <v/>
      </c>
      <c r="AF119" s="438"/>
      <c r="AG119" s="438"/>
      <c r="AH119" s="403"/>
      <c r="AI119" s="403"/>
      <c r="AJ119" s="404"/>
      <c r="AM119" s="377"/>
      <c r="AN119" s="371" t="s">
        <v>115</v>
      </c>
      <c r="AO119" s="372"/>
      <c r="AP119" s="372"/>
      <c r="AQ119" s="362"/>
      <c r="AR119" s="382" t="str">
        <f>IF(AH115="","",IF(SUM(I115:Q115)=0,"",ROUND(AH115/SUM(I115:Q115),3)))</f>
        <v/>
      </c>
      <c r="AS119" s="362"/>
      <c r="AT119" s="308" t="s">
        <v>119</v>
      </c>
      <c r="AU119" s="315"/>
      <c r="AV119" s="315"/>
      <c r="AW119" s="363"/>
      <c r="AX119" s="362"/>
      <c r="AY119" s="382" t="str">
        <f>IF(AH118="","",IF(SUM(I118:Q118)=0,"",ROUND(AH118/SUM(I118:Q118),3)))</f>
        <v/>
      </c>
      <c r="AZ119" s="390"/>
    </row>
    <row r="120" spans="1:105" ht="19.350000000000001" customHeight="1" thickBot="1">
      <c r="E120" s="349"/>
      <c r="F120" s="457" t="s">
        <v>145</v>
      </c>
      <c r="G120" s="458"/>
      <c r="H120" s="458"/>
      <c r="I120" s="408" t="str">
        <f>IF(I116="","",IF(I117="","",ROUNDDOWN(D202,1)))</f>
        <v/>
      </c>
      <c r="J120" s="408"/>
      <c r="K120" s="408"/>
      <c r="L120" s="408" t="str">
        <f>IF(L116="","",IF(L117="","",ROUNDDOWN(G202,1)))</f>
        <v/>
      </c>
      <c r="M120" s="408"/>
      <c r="N120" s="408"/>
      <c r="O120" s="408" t="str">
        <f>IF(O116="","",IF(O117="","",ROUNDDOWN(J202,1)))</f>
        <v/>
      </c>
      <c r="P120" s="408"/>
      <c r="Q120" s="409"/>
      <c r="U120" s="512"/>
      <c r="V120" s="434" t="s">
        <v>0</v>
      </c>
      <c r="W120" s="434"/>
      <c r="X120" s="434"/>
      <c r="Y120" s="411"/>
      <c r="Z120" s="411"/>
      <c r="AA120" s="411"/>
      <c r="AB120" s="411"/>
      <c r="AC120" s="411"/>
      <c r="AD120" s="411"/>
      <c r="AE120" s="411"/>
      <c r="AF120" s="411"/>
      <c r="AG120" s="411"/>
      <c r="AH120" s="434"/>
      <c r="AI120" s="434"/>
      <c r="AJ120" s="435"/>
      <c r="AM120" s="377"/>
      <c r="AN120" s="371" t="s">
        <v>116</v>
      </c>
      <c r="AO120" s="372"/>
      <c r="AP120" s="372"/>
      <c r="AQ120" s="362"/>
      <c r="AR120" s="382" t="str">
        <f>IF(AH115="","",IF(Y71="","",ROUND(AH115/Y71,3)))</f>
        <v/>
      </c>
      <c r="AS120" s="362"/>
      <c r="AT120" s="371" t="s">
        <v>118</v>
      </c>
      <c r="AU120" s="372"/>
      <c r="AV120" s="372"/>
      <c r="AW120" s="363"/>
      <c r="AX120" s="362"/>
      <c r="AY120" s="382" t="str">
        <f>IF(Y71="","",IF(AH115="","",IF(SUM(L115:Q115)+SUM(S39:BE39)=0,ROUND((AH115-Y74-AZ94)/Y71,3),"手入力してください")))</f>
        <v/>
      </c>
      <c r="AZ120" s="390"/>
      <c r="BF120" s="2"/>
    </row>
    <row r="121" spans="1:105" ht="19.350000000000001" customHeight="1">
      <c r="E121" s="349"/>
      <c r="F121" s="398" t="s">
        <v>232</v>
      </c>
      <c r="G121" s="399"/>
      <c r="H121" s="399"/>
      <c r="I121" s="400" t="str">
        <f>IF(I116="","",IF(I117="","",D203))</f>
        <v/>
      </c>
      <c r="J121" s="400"/>
      <c r="K121" s="400"/>
      <c r="L121" s="400" t="str">
        <f>IF(L116="","",IF(L117="","",G203))</f>
        <v/>
      </c>
      <c r="M121" s="400"/>
      <c r="N121" s="400"/>
      <c r="O121" s="400" t="str">
        <f>IF(O116="","",IF(O117="","",J203))</f>
        <v/>
      </c>
      <c r="P121" s="400"/>
      <c r="Q121" s="456"/>
      <c r="V121" s="39"/>
      <c r="W121" s="39"/>
      <c r="X121" s="39"/>
      <c r="Y121" s="39"/>
      <c r="Z121" s="39"/>
      <c r="AA121" s="39"/>
      <c r="AM121" s="377"/>
      <c r="AN121" s="308" t="s">
        <v>368</v>
      </c>
      <c r="AO121" s="315"/>
      <c r="AP121" s="315"/>
      <c r="AQ121" s="362"/>
      <c r="AR121" s="382" t="str">
        <f>IF(Y71="","",IF(Y74="","",SUM(D74:O74)/SUM(D71:O71)))</f>
        <v/>
      </c>
      <c r="AS121" s="362"/>
      <c r="AT121" s="371" t="s">
        <v>117</v>
      </c>
      <c r="AU121" s="372"/>
      <c r="AV121" s="372"/>
      <c r="AW121" s="363"/>
      <c r="AX121" s="362"/>
      <c r="AY121" s="382" t="str">
        <f>IF(Y71="","",IF(Y74="","",IF(SUM(L115:Q115)+SUM(S39:BE39)=0,ROUND((Y74+AZ94)/Y71,3),"手入力してください")))</f>
        <v/>
      </c>
      <c r="AZ121" s="390"/>
    </row>
    <row r="122" spans="1:105" ht="19.350000000000001" customHeight="1" thickBot="1">
      <c r="C122" s="246"/>
      <c r="E122" s="350"/>
      <c r="F122" s="351" t="s">
        <v>299</v>
      </c>
      <c r="G122" s="351"/>
      <c r="H122" s="351"/>
      <c r="I122" s="343" t="str">
        <f>IF(SUM(L115:Q115)+SUM(S39:BE39)=0,Y71,"手入力してください")</f>
        <v/>
      </c>
      <c r="J122" s="343"/>
      <c r="K122" s="343"/>
      <c r="L122" s="352"/>
      <c r="M122" s="352"/>
      <c r="N122" s="352"/>
      <c r="O122" s="352"/>
      <c r="P122" s="352"/>
      <c r="Q122" s="353"/>
      <c r="R122" s="244" t="s">
        <v>303</v>
      </c>
      <c r="AM122" s="378"/>
      <c r="AN122" s="373" t="s">
        <v>289</v>
      </c>
      <c r="AO122" s="374"/>
      <c r="AP122" s="374"/>
      <c r="AQ122" s="375"/>
      <c r="AR122" s="383" t="str">
        <f>IF(ISERROR((SUM(I115:Q115)-AH115-AR115)/SUM(I115:Q115)*1000),"",(SUM(I115:Q115)-AH115-AR115)/SUM(I115:Q115)*1000)</f>
        <v/>
      </c>
      <c r="AS122" s="384"/>
      <c r="AT122" s="385" t="s">
        <v>290</v>
      </c>
      <c r="AU122" s="386"/>
      <c r="AV122" s="386"/>
      <c r="AW122" s="386"/>
      <c r="AX122" s="387"/>
      <c r="AY122" s="383" t="str">
        <f>IF(AH118="","",IF(Y71="","",IF(SUM(L115:Q115)+SUM(S39:BE39)=0,(AH118-AZ96)/Y71*1000,"手入力してください")))</f>
        <v/>
      </c>
      <c r="AZ122" s="391"/>
    </row>
    <row r="123" spans="1:105" ht="19.350000000000001" customHeight="1" thickBot="1">
      <c r="R123" s="49"/>
      <c r="AM123" s="379"/>
      <c r="AN123" s="380" t="s">
        <v>301</v>
      </c>
      <c r="AO123" s="381"/>
      <c r="AP123" s="381"/>
      <c r="AQ123" s="381"/>
      <c r="AR123" s="392" t="str">
        <f>IF(ISERROR((Y115*Y119)/(81*180/162*Y71+1.5848*AZ96*100)),"",IF(SUM(L115:Q115)+SUM(AB115:AG115)=0,(Y115*Y119)/(81*180/162*Y71+1.5848*AZ96*100),"手入力してください"))</f>
        <v/>
      </c>
      <c r="AS123" s="393"/>
      <c r="AT123" s="394" t="s">
        <v>300</v>
      </c>
      <c r="AU123" s="381"/>
      <c r="AV123" s="381"/>
      <c r="AW123" s="381"/>
      <c r="AX123" s="381"/>
      <c r="AY123" s="395" t="str">
        <f>IF(AR123="手入力してください","手入力してください",IF(ISERROR(AR123*(AE71*D71+AE72*(Y73-D73)+AE73*(Y72-D72))/(Y71*100)),"",AR123*(AE71*D71+AE72*(Y73-D73)+AE73*(Y72-D72))/(Y71*100)))</f>
        <v/>
      </c>
      <c r="AZ123" s="396"/>
    </row>
    <row r="124" spans="1:105" ht="19.350000000000001" customHeight="1">
      <c r="E124" s="789" t="s">
        <v>292</v>
      </c>
      <c r="F124" s="790"/>
      <c r="G124" s="790"/>
      <c r="H124" s="793" t="s">
        <v>293</v>
      </c>
      <c r="I124" s="238" t="s">
        <v>295</v>
      </c>
      <c r="J124" s="239"/>
      <c r="K124" s="239" t="s">
        <v>294</v>
      </c>
      <c r="L124" s="795" t="s">
        <v>297</v>
      </c>
      <c r="M124" s="796"/>
      <c r="N124" s="801" t="str">
        <f>IF(L115="","",I115+L115+O115)</f>
        <v/>
      </c>
      <c r="O124" s="801"/>
      <c r="P124" s="801"/>
      <c r="Q124" s="795" t="s">
        <v>298</v>
      </c>
      <c r="R124" s="799"/>
      <c r="S124" s="796"/>
      <c r="T124" s="801" t="str">
        <f>IF(L118="","",(I115*I116+L115*L116+O115*O116)/100)</f>
        <v/>
      </c>
      <c r="U124" s="801"/>
      <c r="V124" s="803"/>
      <c r="X124" s="335"/>
      <c r="Y124" s="336"/>
      <c r="Z124" s="337"/>
      <c r="AA124" s="344" t="s">
        <v>308</v>
      </c>
      <c r="AB124" s="344"/>
      <c r="AC124" s="344" t="s">
        <v>309</v>
      </c>
      <c r="AD124" s="344"/>
      <c r="AE124" s="344" t="s">
        <v>310</v>
      </c>
      <c r="AF124" s="344"/>
      <c r="AG124" s="344" t="s">
        <v>311</v>
      </c>
      <c r="AH124" s="344"/>
      <c r="AI124" s="332" t="s">
        <v>306</v>
      </c>
      <c r="AJ124" s="333"/>
      <c r="AN124" s="245" t="s">
        <v>307</v>
      </c>
    </row>
    <row r="125" spans="1:105" ht="19.350000000000001" customHeight="1" thickBot="1">
      <c r="E125" s="791"/>
      <c r="F125" s="792"/>
      <c r="G125" s="792"/>
      <c r="H125" s="794"/>
      <c r="I125" s="240" t="s">
        <v>296</v>
      </c>
      <c r="J125" s="241"/>
      <c r="K125" s="242" t="s">
        <v>294</v>
      </c>
      <c r="L125" s="797"/>
      <c r="M125" s="798"/>
      <c r="N125" s="802"/>
      <c r="O125" s="802"/>
      <c r="P125" s="802"/>
      <c r="Q125" s="797"/>
      <c r="R125" s="800"/>
      <c r="S125" s="798"/>
      <c r="T125" s="802"/>
      <c r="U125" s="802"/>
      <c r="V125" s="804"/>
      <c r="X125" s="338" t="s">
        <v>304</v>
      </c>
      <c r="Y125" s="339"/>
      <c r="Z125" s="340"/>
      <c r="AA125" s="334" t="str">
        <f>IF(AR123="","",IF(AR123="手入力してください","",IF(AR123&gt;0.845,"かなり高い",IF(AR123&gt;0.808,"高い",IF(AR123&gt;0.756,"標準的",IF(AR123&gt;0.722,"低い","かなり低い"))))))</f>
        <v/>
      </c>
      <c r="AB125" s="334"/>
      <c r="AC125" s="334" t="str">
        <f>IF(AR123="","",IF(AR123="手入力してください","",IF(AR123&gt;0.872,"かなり高い",IF(AR123&gt;0.838,"高い",IF(AR123&gt;0.79,"標準的",IF(AR123&gt;0.744,"低い","かなり低い"))))))</f>
        <v/>
      </c>
      <c r="AD125" s="334"/>
      <c r="AE125" s="334" t="str">
        <f>IF(AR123="","",IF(AR123="手入力してください","",IF(AR123&gt;0.868,"かなり高い",IF(AR123&gt;0.844,"高い",IF(AR123&gt;0.798,"標準的",IF(AR123&gt;0.755,"低い","かなり低い"))))))</f>
        <v/>
      </c>
      <c r="AF125" s="334"/>
      <c r="AG125" s="334" t="str">
        <f>IF(AR123="","",IF(AR123="手入力してください","",IF(AR123&gt;0.883,"かなり高い",IF(AR123&gt;0.856,"高い",IF(AR123&gt;0.83,"標準的",IF(AR123&gt;0.802,"低い","かなり低い"))))))</f>
        <v/>
      </c>
      <c r="AH125" s="334"/>
      <c r="AI125" s="334" t="str">
        <f>IF(AR123="","",IF(AR123="手入力してください","",IF(AR123&gt;0.923,"高い",IF(AR123&gt;0.876,"標準的",IF(AR123&gt;0.843,"低い","かなり低い")))))</f>
        <v/>
      </c>
      <c r="AJ125" s="334"/>
      <c r="AN125" s="244" t="s">
        <v>314</v>
      </c>
      <c r="AP125" s="40"/>
      <c r="AQ125"/>
      <c r="AR125"/>
      <c r="AS125"/>
      <c r="AT125"/>
      <c r="AU125"/>
      <c r="AV125"/>
      <c r="AW125"/>
      <c r="AX125"/>
      <c r="AY125"/>
      <c r="AZ125"/>
      <c r="BA125"/>
      <c r="BB125"/>
    </row>
    <row r="126" spans="1:105" ht="20.25" customHeight="1" thickBot="1">
      <c r="A126" s="46"/>
      <c r="B126" s="39"/>
      <c r="C126" s="39"/>
      <c r="X126" s="341" t="s">
        <v>305</v>
      </c>
      <c r="Y126" s="342"/>
      <c r="Z126" s="342"/>
      <c r="AA126" s="343" t="str">
        <f>IF(AY123="","",IF(AY123="手入力してください","",IF(AY123&gt;0.467,"かなり高い",IF(AY123&gt;0.429,"高い",IF(AY123&gt;0.377,"標準的",IF(AY123&gt;0.323,"低い","かなり低い"))))))</f>
        <v/>
      </c>
      <c r="AB126" s="343"/>
      <c r="AC126" s="343" t="str">
        <f>IF(AY123="","",IF(AY123="手入力してください","",IF(AY123&gt;0.462,"かなり高い",IF(AY123&gt;0.441,"高い",IF(AY123&gt;0.392,"標準的",IF(AY123&gt;0.337,"低い","かなり低い"))))))</f>
        <v/>
      </c>
      <c r="AD126" s="343"/>
      <c r="AE126" s="343" t="str">
        <f>IF(AY123="","",IF(AY123="手入力してください","",IF(AY123&gt;0.616,"かなり高い",IF(AY123&gt;0.589,"高い",IF(AY123&gt;0.499,"標準的",IF(AY123&gt;0.456,"低い","かなり低い"))))))</f>
        <v/>
      </c>
      <c r="AF126" s="343"/>
      <c r="AG126" s="343" t="str">
        <f>IF(AY123="","",IF(AY123="手入力してください","",IF(AY123&gt;0.612,"かなり高い",IF(AY123&gt;0.589,"高い",IF(AY123&gt;0.528,"標準的",IF(AY123&gt;0.485,"低い","かなり低い"))))))</f>
        <v/>
      </c>
      <c r="AH126" s="343"/>
      <c r="AI126" s="343" t="str">
        <f>IF(AY123="","",IF(AY123="手入力してください","",IF(AY123&gt;0.823,"かなり高い",IF(AY123&gt;0.706,"高い",IF(AY123&gt;0.633,"標準的",IF(AY123&gt;0.564,"低い","かなり低い"))))))</f>
        <v/>
      </c>
      <c r="AJ126" s="343"/>
      <c r="AN126" s="245" t="s">
        <v>315</v>
      </c>
      <c r="AP126" s="40"/>
      <c r="AQ126" s="40"/>
      <c r="AR126" s="40"/>
      <c r="AS126" s="40"/>
      <c r="AT126" s="40"/>
      <c r="AU126" s="40"/>
      <c r="AV126" s="40"/>
      <c r="AW126" s="40"/>
      <c r="AX126" s="40"/>
      <c r="AY126" s="40"/>
      <c r="AZ126" s="40"/>
      <c r="BA126" s="40"/>
      <c r="BB126" s="40"/>
    </row>
    <row r="127" spans="1:105" ht="18.600000000000001" customHeight="1">
      <c r="A127" s="46"/>
      <c r="B127" s="39"/>
      <c r="C127" s="39"/>
      <c r="I127" s="247"/>
      <c r="J127" s="247"/>
      <c r="K127" s="247"/>
      <c r="L127" s="247"/>
      <c r="M127" s="247"/>
      <c r="N127" s="247"/>
      <c r="O127" s="247"/>
      <c r="P127" s="247"/>
      <c r="Q127" s="247"/>
      <c r="R127" s="247"/>
      <c r="S127" s="247"/>
      <c r="T127" s="247"/>
      <c r="U127" s="247"/>
      <c r="V127" s="247"/>
      <c r="W127" s="247"/>
      <c r="X127" s="247"/>
      <c r="Y127" s="247"/>
      <c r="Z127" s="247"/>
      <c r="AA127" s="247"/>
      <c r="AB127" s="247"/>
      <c r="AC127" s="247"/>
      <c r="AD127" s="247"/>
      <c r="AE127" s="247"/>
      <c r="AF127" s="247"/>
      <c r="AG127" s="247"/>
      <c r="AH127" s="248" t="s">
        <v>312</v>
      </c>
      <c r="AI127" s="2" t="s">
        <v>307</v>
      </c>
      <c r="AN127" s="244" t="s">
        <v>316</v>
      </c>
    </row>
    <row r="128" spans="1:105" ht="18.600000000000001" customHeight="1">
      <c r="A128" s="46"/>
      <c r="B128" s="39"/>
      <c r="C128" s="39"/>
      <c r="I128" s="247"/>
      <c r="J128" s="247"/>
      <c r="K128" s="247"/>
      <c r="L128" s="247"/>
      <c r="M128" s="247"/>
      <c r="N128" s="247"/>
      <c r="O128" s="247"/>
      <c r="P128" s="247"/>
      <c r="Q128" s="247"/>
      <c r="R128" s="247"/>
      <c r="S128" s="247"/>
      <c r="T128" s="247"/>
      <c r="U128" s="247"/>
      <c r="V128" s="247"/>
      <c r="W128" s="247"/>
      <c r="X128" s="247"/>
      <c r="Y128" s="247"/>
      <c r="Z128" s="247"/>
      <c r="AA128" s="247"/>
      <c r="AB128" s="247"/>
      <c r="AC128" s="247"/>
      <c r="AD128" s="247"/>
      <c r="AE128" s="247"/>
      <c r="AF128" s="247"/>
      <c r="AG128" s="247"/>
      <c r="AH128" s="248" t="s">
        <v>313</v>
      </c>
    </row>
    <row r="129" spans="1:57" ht="19.5" hidden="1" customHeight="1">
      <c r="A129" t="s">
        <v>193</v>
      </c>
    </row>
    <row r="130" spans="1:57" ht="18" hidden="1" customHeight="1">
      <c r="A130" s="307" t="s">
        <v>144</v>
      </c>
      <c r="B130" s="307"/>
      <c r="C130" s="307"/>
      <c r="D130" s="110"/>
      <c r="E130" s="110"/>
      <c r="F130" s="110"/>
      <c r="G130" s="110"/>
      <c r="H130" s="110"/>
      <c r="I130" s="110"/>
      <c r="J130" s="110"/>
      <c r="K130" s="110"/>
      <c r="L130" s="110"/>
      <c r="M130" s="110"/>
      <c r="N130" s="110"/>
      <c r="O130" s="110"/>
      <c r="P130" s="110"/>
      <c r="Q130" s="110"/>
      <c r="R130" s="110"/>
      <c r="S130" s="215" t="e">
        <f t="shared" ref="S130:BE130" si="70">IF(S163="",NA(),S163*S3)</f>
        <v>#N/A</v>
      </c>
      <c r="T130" s="61" t="e">
        <f t="shared" si="70"/>
        <v>#N/A</v>
      </c>
      <c r="U130" s="61" t="e">
        <f t="shared" si="70"/>
        <v>#N/A</v>
      </c>
      <c r="V130" s="61" t="e">
        <f t="shared" si="70"/>
        <v>#N/A</v>
      </c>
      <c r="W130" s="61" t="e">
        <f t="shared" si="70"/>
        <v>#N/A</v>
      </c>
      <c r="X130" s="61" t="e">
        <f t="shared" si="70"/>
        <v>#N/A</v>
      </c>
      <c r="Y130" s="61" t="e">
        <f t="shared" si="70"/>
        <v>#N/A</v>
      </c>
      <c r="Z130" s="61" t="e">
        <f t="shared" si="70"/>
        <v>#N/A</v>
      </c>
      <c r="AA130" s="61" t="e">
        <f t="shared" si="70"/>
        <v>#N/A</v>
      </c>
      <c r="AB130" s="61" t="e">
        <f t="shared" si="70"/>
        <v>#N/A</v>
      </c>
      <c r="AC130" s="61" t="e">
        <f t="shared" si="70"/>
        <v>#N/A</v>
      </c>
      <c r="AD130" s="61" t="e">
        <f t="shared" si="70"/>
        <v>#N/A</v>
      </c>
      <c r="AE130" s="61" t="e">
        <f t="shared" si="70"/>
        <v>#N/A</v>
      </c>
      <c r="AF130" s="61" t="e">
        <f t="shared" si="70"/>
        <v>#N/A</v>
      </c>
      <c r="AG130" s="61" t="e">
        <f t="shared" si="70"/>
        <v>#N/A</v>
      </c>
      <c r="AH130" s="61" t="e">
        <f t="shared" si="70"/>
        <v>#N/A</v>
      </c>
      <c r="AI130" s="61" t="e">
        <f t="shared" si="70"/>
        <v>#N/A</v>
      </c>
      <c r="AJ130" s="61" t="e">
        <f t="shared" si="70"/>
        <v>#N/A</v>
      </c>
      <c r="AK130" s="61" t="e">
        <f t="shared" si="70"/>
        <v>#N/A</v>
      </c>
      <c r="AL130" s="61" t="e">
        <f t="shared" si="70"/>
        <v>#N/A</v>
      </c>
      <c r="AM130" s="61" t="e">
        <f t="shared" si="70"/>
        <v>#N/A</v>
      </c>
      <c r="AN130" s="61" t="e">
        <f t="shared" si="70"/>
        <v>#N/A</v>
      </c>
      <c r="AO130" s="61" t="e">
        <f t="shared" si="70"/>
        <v>#N/A</v>
      </c>
      <c r="AP130" s="61" t="e">
        <f t="shared" si="70"/>
        <v>#N/A</v>
      </c>
      <c r="AQ130" s="61" t="e">
        <f t="shared" si="70"/>
        <v>#N/A</v>
      </c>
      <c r="AR130" s="61" t="e">
        <f t="shared" si="70"/>
        <v>#N/A</v>
      </c>
      <c r="AS130" s="61" t="e">
        <f t="shared" si="70"/>
        <v>#N/A</v>
      </c>
      <c r="AT130" s="61" t="e">
        <f t="shared" si="70"/>
        <v>#N/A</v>
      </c>
      <c r="AU130" s="61" t="e">
        <f t="shared" si="70"/>
        <v>#N/A</v>
      </c>
      <c r="AV130" s="61" t="e">
        <f t="shared" si="70"/>
        <v>#N/A</v>
      </c>
      <c r="AW130" s="61" t="e">
        <f t="shared" si="70"/>
        <v>#N/A</v>
      </c>
      <c r="AX130" s="61" t="e">
        <f t="shared" si="70"/>
        <v>#N/A</v>
      </c>
      <c r="AY130" s="61" t="e">
        <f t="shared" si="70"/>
        <v>#N/A</v>
      </c>
      <c r="AZ130" s="61" t="e">
        <f t="shared" si="70"/>
        <v>#N/A</v>
      </c>
      <c r="BA130" s="61" t="e">
        <f t="shared" si="70"/>
        <v>#N/A</v>
      </c>
      <c r="BB130" s="61" t="e">
        <f t="shared" si="70"/>
        <v>#N/A</v>
      </c>
      <c r="BC130" s="61" t="e">
        <f t="shared" si="70"/>
        <v>#N/A</v>
      </c>
      <c r="BD130" s="61" t="e">
        <f t="shared" si="70"/>
        <v>#N/A</v>
      </c>
      <c r="BE130" s="61" t="e">
        <f t="shared" si="70"/>
        <v>#N/A</v>
      </c>
    </row>
    <row r="131" spans="1:57" ht="18" hidden="1" customHeight="1">
      <c r="A131" s="307" t="s">
        <v>3</v>
      </c>
      <c r="B131" s="307"/>
      <c r="C131" s="307"/>
      <c r="D131" s="110"/>
      <c r="E131" s="110"/>
      <c r="F131" s="110"/>
      <c r="G131" s="110"/>
      <c r="H131" s="110"/>
      <c r="I131" s="110"/>
      <c r="J131" s="110"/>
      <c r="K131" s="110"/>
      <c r="L131" s="110"/>
      <c r="M131" s="110"/>
      <c r="N131" s="110"/>
      <c r="O131" s="110"/>
      <c r="P131" s="110"/>
      <c r="Q131" s="110"/>
      <c r="R131" s="110"/>
      <c r="S131" s="215" t="e">
        <f t="shared" ref="S131:BE131" si="71">IFERROR(ROUNDDOWN((S178-S179)*260+0.21,1),NA())</f>
        <v>#N/A</v>
      </c>
      <c r="T131" s="61" t="e">
        <f t="shared" si="71"/>
        <v>#N/A</v>
      </c>
      <c r="U131" s="61" t="e">
        <f t="shared" si="71"/>
        <v>#N/A</v>
      </c>
      <c r="V131" s="61" t="e">
        <f t="shared" si="71"/>
        <v>#N/A</v>
      </c>
      <c r="W131" s="61" t="e">
        <f t="shared" si="71"/>
        <v>#N/A</v>
      </c>
      <c r="X131" s="61" t="e">
        <f t="shared" si="71"/>
        <v>#N/A</v>
      </c>
      <c r="Y131" s="61" t="e">
        <f t="shared" si="71"/>
        <v>#N/A</v>
      </c>
      <c r="Z131" s="61" t="e">
        <f t="shared" si="71"/>
        <v>#N/A</v>
      </c>
      <c r="AA131" s="61" t="e">
        <f t="shared" si="71"/>
        <v>#N/A</v>
      </c>
      <c r="AB131" s="61" t="e">
        <f t="shared" si="71"/>
        <v>#N/A</v>
      </c>
      <c r="AC131" s="61" t="e">
        <f t="shared" si="71"/>
        <v>#N/A</v>
      </c>
      <c r="AD131" s="61" t="e">
        <f t="shared" si="71"/>
        <v>#N/A</v>
      </c>
      <c r="AE131" s="61" t="e">
        <f t="shared" si="71"/>
        <v>#N/A</v>
      </c>
      <c r="AF131" s="61" t="e">
        <f t="shared" si="71"/>
        <v>#N/A</v>
      </c>
      <c r="AG131" s="61" t="e">
        <f t="shared" si="71"/>
        <v>#N/A</v>
      </c>
      <c r="AH131" s="61" t="e">
        <f t="shared" si="71"/>
        <v>#N/A</v>
      </c>
      <c r="AI131" s="61" t="e">
        <f t="shared" si="71"/>
        <v>#N/A</v>
      </c>
      <c r="AJ131" s="61" t="e">
        <f t="shared" si="71"/>
        <v>#N/A</v>
      </c>
      <c r="AK131" s="61" t="e">
        <f t="shared" si="71"/>
        <v>#N/A</v>
      </c>
      <c r="AL131" s="61" t="e">
        <f t="shared" si="71"/>
        <v>#N/A</v>
      </c>
      <c r="AM131" s="61" t="e">
        <f t="shared" si="71"/>
        <v>#N/A</v>
      </c>
      <c r="AN131" s="61" t="e">
        <f t="shared" si="71"/>
        <v>#N/A</v>
      </c>
      <c r="AO131" s="61" t="e">
        <f t="shared" si="71"/>
        <v>#N/A</v>
      </c>
      <c r="AP131" s="61" t="e">
        <f t="shared" si="71"/>
        <v>#N/A</v>
      </c>
      <c r="AQ131" s="61" t="e">
        <f t="shared" si="71"/>
        <v>#N/A</v>
      </c>
      <c r="AR131" s="61" t="e">
        <f t="shared" si="71"/>
        <v>#N/A</v>
      </c>
      <c r="AS131" s="61" t="e">
        <f t="shared" si="71"/>
        <v>#N/A</v>
      </c>
      <c r="AT131" s="61" t="e">
        <f t="shared" si="71"/>
        <v>#N/A</v>
      </c>
      <c r="AU131" s="61" t="e">
        <f t="shared" si="71"/>
        <v>#N/A</v>
      </c>
      <c r="AV131" s="61" t="e">
        <f t="shared" si="71"/>
        <v>#N/A</v>
      </c>
      <c r="AW131" s="61" t="e">
        <f t="shared" si="71"/>
        <v>#N/A</v>
      </c>
      <c r="AX131" s="61" t="e">
        <f t="shared" si="71"/>
        <v>#N/A</v>
      </c>
      <c r="AY131" s="61" t="e">
        <f t="shared" si="71"/>
        <v>#N/A</v>
      </c>
      <c r="AZ131" s="61" t="e">
        <f t="shared" si="71"/>
        <v>#N/A</v>
      </c>
      <c r="BA131" s="61" t="e">
        <f t="shared" si="71"/>
        <v>#N/A</v>
      </c>
      <c r="BB131" s="61" t="e">
        <f t="shared" si="71"/>
        <v>#N/A</v>
      </c>
      <c r="BC131" s="61" t="e">
        <f t="shared" si="71"/>
        <v>#N/A</v>
      </c>
      <c r="BD131" s="61" t="e">
        <f t="shared" si="71"/>
        <v>#N/A</v>
      </c>
      <c r="BE131" s="61" t="e">
        <f t="shared" si="71"/>
        <v>#N/A</v>
      </c>
    </row>
    <row r="132" spans="1:57" ht="18" hidden="1" customHeight="1">
      <c r="A132" s="307" t="s">
        <v>184</v>
      </c>
      <c r="B132" s="307"/>
      <c r="C132" s="307"/>
      <c r="D132" s="110"/>
      <c r="E132" s="110"/>
      <c r="F132" s="110"/>
      <c r="G132" s="110"/>
      <c r="H132" s="110"/>
      <c r="I132" s="110"/>
      <c r="J132" s="110"/>
      <c r="K132" s="110"/>
      <c r="L132" s="110"/>
      <c r="M132" s="110"/>
      <c r="N132" s="110"/>
      <c r="O132" s="110"/>
      <c r="P132" s="110"/>
      <c r="Q132" s="110"/>
      <c r="R132" s="110"/>
      <c r="S132" s="216" t="e">
        <f t="shared" ref="S132:BE132" si="72">IF(S131="",NA(),IF(S19="",NA(),S131-S19))</f>
        <v>#N/A</v>
      </c>
      <c r="T132" s="106" t="e">
        <f t="shared" si="72"/>
        <v>#N/A</v>
      </c>
      <c r="U132" s="106" t="e">
        <f t="shared" si="72"/>
        <v>#N/A</v>
      </c>
      <c r="V132" s="106" t="e">
        <f t="shared" si="72"/>
        <v>#N/A</v>
      </c>
      <c r="W132" s="106" t="e">
        <f t="shared" si="72"/>
        <v>#N/A</v>
      </c>
      <c r="X132" s="106" t="e">
        <f t="shared" si="72"/>
        <v>#N/A</v>
      </c>
      <c r="Y132" s="106" t="e">
        <f t="shared" si="72"/>
        <v>#N/A</v>
      </c>
      <c r="Z132" s="106" t="e">
        <f t="shared" si="72"/>
        <v>#N/A</v>
      </c>
      <c r="AA132" s="106" t="e">
        <f t="shared" si="72"/>
        <v>#N/A</v>
      </c>
      <c r="AB132" s="106" t="e">
        <f t="shared" si="72"/>
        <v>#N/A</v>
      </c>
      <c r="AC132" s="106" t="e">
        <f t="shared" si="72"/>
        <v>#N/A</v>
      </c>
      <c r="AD132" s="106" t="e">
        <f t="shared" si="72"/>
        <v>#N/A</v>
      </c>
      <c r="AE132" s="106" t="e">
        <f t="shared" si="72"/>
        <v>#N/A</v>
      </c>
      <c r="AF132" s="106" t="e">
        <f t="shared" si="72"/>
        <v>#N/A</v>
      </c>
      <c r="AG132" s="106" t="e">
        <f t="shared" si="72"/>
        <v>#N/A</v>
      </c>
      <c r="AH132" s="106" t="e">
        <f t="shared" si="72"/>
        <v>#N/A</v>
      </c>
      <c r="AI132" s="106" t="e">
        <f t="shared" si="72"/>
        <v>#N/A</v>
      </c>
      <c r="AJ132" s="106" t="e">
        <f t="shared" si="72"/>
        <v>#N/A</v>
      </c>
      <c r="AK132" s="106" t="e">
        <f t="shared" si="72"/>
        <v>#N/A</v>
      </c>
      <c r="AL132" s="106" t="e">
        <f t="shared" si="72"/>
        <v>#N/A</v>
      </c>
      <c r="AM132" s="106" t="e">
        <f t="shared" si="72"/>
        <v>#N/A</v>
      </c>
      <c r="AN132" s="106" t="e">
        <f t="shared" si="72"/>
        <v>#N/A</v>
      </c>
      <c r="AO132" s="106" t="e">
        <f t="shared" si="72"/>
        <v>#N/A</v>
      </c>
      <c r="AP132" s="106" t="e">
        <f t="shared" si="72"/>
        <v>#N/A</v>
      </c>
      <c r="AQ132" s="106" t="e">
        <f t="shared" si="72"/>
        <v>#N/A</v>
      </c>
      <c r="AR132" s="106" t="e">
        <f t="shared" si="72"/>
        <v>#N/A</v>
      </c>
      <c r="AS132" s="106" t="e">
        <f t="shared" si="72"/>
        <v>#N/A</v>
      </c>
      <c r="AT132" s="106" t="e">
        <f t="shared" si="72"/>
        <v>#N/A</v>
      </c>
      <c r="AU132" s="106" t="e">
        <f t="shared" si="72"/>
        <v>#N/A</v>
      </c>
      <c r="AV132" s="106" t="e">
        <f t="shared" si="72"/>
        <v>#N/A</v>
      </c>
      <c r="AW132" s="106" t="e">
        <f t="shared" si="72"/>
        <v>#N/A</v>
      </c>
      <c r="AX132" s="106" t="e">
        <f t="shared" si="72"/>
        <v>#N/A</v>
      </c>
      <c r="AY132" s="106" t="e">
        <f t="shared" si="72"/>
        <v>#N/A</v>
      </c>
      <c r="AZ132" s="106" t="e">
        <f t="shared" si="72"/>
        <v>#N/A</v>
      </c>
      <c r="BA132" s="106" t="e">
        <f t="shared" si="72"/>
        <v>#N/A</v>
      </c>
      <c r="BB132" s="106" t="e">
        <f t="shared" si="72"/>
        <v>#N/A</v>
      </c>
      <c r="BC132" s="106" t="e">
        <f t="shared" si="72"/>
        <v>#N/A</v>
      </c>
      <c r="BD132" s="106" t="e">
        <f t="shared" si="72"/>
        <v>#N/A</v>
      </c>
      <c r="BE132" s="106" t="e">
        <f t="shared" si="72"/>
        <v>#N/A</v>
      </c>
    </row>
    <row r="133" spans="1:57" ht="18" hidden="1" customHeight="1">
      <c r="A133" s="307" t="s">
        <v>145</v>
      </c>
      <c r="B133" s="307"/>
      <c r="C133" s="307"/>
      <c r="D133" s="193"/>
      <c r="E133" s="193"/>
      <c r="F133" s="193"/>
      <c r="G133" s="193"/>
      <c r="H133" s="193"/>
      <c r="I133" s="193"/>
      <c r="J133" s="193"/>
      <c r="K133" s="193"/>
      <c r="L133" s="193"/>
      <c r="M133" s="193"/>
      <c r="N133" s="193"/>
      <c r="O133" s="193"/>
      <c r="P133" s="193"/>
      <c r="Q133" s="193"/>
      <c r="R133" s="193"/>
      <c r="S133" s="216" t="e">
        <f t="shared" ref="S133:BE133" si="73">IF(S131="",NA(),ROUNDDOWN(S131+S16*1.5848,1))</f>
        <v>#N/A</v>
      </c>
      <c r="T133" s="105" t="e">
        <f t="shared" si="73"/>
        <v>#N/A</v>
      </c>
      <c r="U133" s="105" t="e">
        <f t="shared" si="73"/>
        <v>#N/A</v>
      </c>
      <c r="V133" s="105" t="e">
        <f t="shared" si="73"/>
        <v>#N/A</v>
      </c>
      <c r="W133" s="105" t="e">
        <f t="shared" si="73"/>
        <v>#N/A</v>
      </c>
      <c r="X133" s="105" t="e">
        <f t="shared" si="73"/>
        <v>#N/A</v>
      </c>
      <c r="Y133" s="105" t="e">
        <f t="shared" si="73"/>
        <v>#N/A</v>
      </c>
      <c r="Z133" s="105" t="e">
        <f t="shared" si="73"/>
        <v>#N/A</v>
      </c>
      <c r="AA133" s="105" t="e">
        <f t="shared" si="73"/>
        <v>#N/A</v>
      </c>
      <c r="AB133" s="105" t="e">
        <f t="shared" si="73"/>
        <v>#N/A</v>
      </c>
      <c r="AC133" s="105" t="e">
        <f t="shared" si="73"/>
        <v>#N/A</v>
      </c>
      <c r="AD133" s="105" t="e">
        <f t="shared" si="73"/>
        <v>#N/A</v>
      </c>
      <c r="AE133" s="105" t="e">
        <f t="shared" si="73"/>
        <v>#N/A</v>
      </c>
      <c r="AF133" s="105" t="e">
        <f t="shared" si="73"/>
        <v>#N/A</v>
      </c>
      <c r="AG133" s="105" t="e">
        <f t="shared" si="73"/>
        <v>#N/A</v>
      </c>
      <c r="AH133" s="105" t="e">
        <f t="shared" si="73"/>
        <v>#N/A</v>
      </c>
      <c r="AI133" s="105" t="e">
        <f t="shared" si="73"/>
        <v>#N/A</v>
      </c>
      <c r="AJ133" s="105" t="e">
        <f t="shared" si="73"/>
        <v>#N/A</v>
      </c>
      <c r="AK133" s="105" t="e">
        <f t="shared" si="73"/>
        <v>#N/A</v>
      </c>
      <c r="AL133" s="105" t="e">
        <f t="shared" si="73"/>
        <v>#N/A</v>
      </c>
      <c r="AM133" s="105" t="e">
        <f t="shared" si="73"/>
        <v>#N/A</v>
      </c>
      <c r="AN133" s="105" t="e">
        <f t="shared" si="73"/>
        <v>#N/A</v>
      </c>
      <c r="AO133" s="105" t="e">
        <f t="shared" si="73"/>
        <v>#N/A</v>
      </c>
      <c r="AP133" s="105" t="e">
        <f t="shared" si="73"/>
        <v>#N/A</v>
      </c>
      <c r="AQ133" s="105" t="e">
        <f t="shared" si="73"/>
        <v>#N/A</v>
      </c>
      <c r="AR133" s="105" t="e">
        <f t="shared" si="73"/>
        <v>#N/A</v>
      </c>
      <c r="AS133" s="105" t="e">
        <f t="shared" si="73"/>
        <v>#N/A</v>
      </c>
      <c r="AT133" s="105" t="e">
        <f t="shared" si="73"/>
        <v>#N/A</v>
      </c>
      <c r="AU133" s="105" t="e">
        <f t="shared" si="73"/>
        <v>#N/A</v>
      </c>
      <c r="AV133" s="105" t="e">
        <f t="shared" si="73"/>
        <v>#N/A</v>
      </c>
      <c r="AW133" s="105" t="e">
        <f t="shared" si="73"/>
        <v>#N/A</v>
      </c>
      <c r="AX133" s="105" t="e">
        <f t="shared" si="73"/>
        <v>#N/A</v>
      </c>
      <c r="AY133" s="105" t="e">
        <f t="shared" si="73"/>
        <v>#N/A</v>
      </c>
      <c r="AZ133" s="105" t="e">
        <f t="shared" si="73"/>
        <v>#N/A</v>
      </c>
      <c r="BA133" s="105" t="e">
        <f t="shared" si="73"/>
        <v>#N/A</v>
      </c>
      <c r="BB133" s="105" t="e">
        <f t="shared" si="73"/>
        <v>#N/A</v>
      </c>
      <c r="BC133" s="105" t="e">
        <f t="shared" si="73"/>
        <v>#N/A</v>
      </c>
      <c r="BD133" s="105" t="e">
        <f t="shared" si="73"/>
        <v>#N/A</v>
      </c>
      <c r="BE133" s="105" t="e">
        <f t="shared" si="73"/>
        <v>#N/A</v>
      </c>
    </row>
    <row r="134" spans="1:57" ht="18" hidden="1" customHeight="1">
      <c r="A134" s="41"/>
      <c r="B134" s="41"/>
      <c r="C134" s="41"/>
      <c r="D134" s="132"/>
      <c r="E134" s="41"/>
      <c r="F134" s="41"/>
      <c r="G134" s="133"/>
      <c r="H134" s="134"/>
      <c r="I134" s="132"/>
      <c r="J134" s="41"/>
      <c r="K134" s="41"/>
      <c r="L134" s="41"/>
      <c r="M134" s="41"/>
      <c r="N134" s="41"/>
      <c r="O134" s="41"/>
      <c r="P134" s="41"/>
      <c r="Q134" s="41"/>
      <c r="R134" s="41"/>
      <c r="S134" s="130"/>
      <c r="T134" s="130"/>
      <c r="U134" s="130"/>
      <c r="V134" s="130"/>
      <c r="W134" s="130"/>
      <c r="X134" s="130"/>
      <c r="Y134" s="130"/>
      <c r="Z134" s="130"/>
      <c r="AA134" s="130"/>
      <c r="AB134" s="130"/>
      <c r="AC134" s="130"/>
      <c r="AD134" s="130"/>
      <c r="AE134" s="130"/>
      <c r="AF134" s="130"/>
      <c r="AG134" s="130"/>
      <c r="AH134" s="130"/>
      <c r="AI134" s="130"/>
      <c r="AJ134" s="130"/>
      <c r="AK134" s="130"/>
      <c r="AL134" s="130"/>
      <c r="AM134" s="130"/>
      <c r="AN134" s="130"/>
      <c r="AO134" s="130"/>
      <c r="AP134" s="130"/>
      <c r="AQ134" s="130"/>
      <c r="AR134" s="130"/>
      <c r="AS134" s="130"/>
      <c r="AT134" s="130"/>
      <c r="AU134" s="130"/>
      <c r="AV134" s="130"/>
      <c r="AW134" s="130"/>
      <c r="AX134" s="130"/>
      <c r="AY134" s="130"/>
      <c r="AZ134" s="130"/>
      <c r="BA134" s="130"/>
      <c r="BB134" s="130"/>
      <c r="BC134" s="130"/>
      <c r="BD134" s="130"/>
      <c r="BE134" s="130"/>
    </row>
    <row r="135" spans="1:57" ht="18" hidden="1" customHeight="1">
      <c r="A135" s="205"/>
      <c r="B135" s="205" t="s">
        <v>158</v>
      </c>
      <c r="C135" s="205" t="s">
        <v>159</v>
      </c>
      <c r="D135" s="29" t="s">
        <v>160</v>
      </c>
      <c r="E135" s="205" t="s">
        <v>161</v>
      </c>
      <c r="F135" s="205" t="s">
        <v>162</v>
      </c>
      <c r="G135" s="205" t="s">
        <v>163</v>
      </c>
      <c r="H135" s="205" t="s">
        <v>164</v>
      </c>
      <c r="I135" s="205" t="s">
        <v>165</v>
      </c>
      <c r="J135" s="205" t="s">
        <v>166</v>
      </c>
      <c r="K135" s="205" t="s">
        <v>167</v>
      </c>
      <c r="L135" s="205" t="s">
        <v>342</v>
      </c>
      <c r="M135" s="205" t="s">
        <v>343</v>
      </c>
      <c r="N135" s="205" t="s">
        <v>344</v>
      </c>
      <c r="O135" s="205" t="s">
        <v>345</v>
      </c>
      <c r="P135" s="205" t="s">
        <v>346</v>
      </c>
      <c r="Q135" s="205" t="s">
        <v>347</v>
      </c>
      <c r="R135" s="205" t="s">
        <v>348</v>
      </c>
      <c r="S135" s="205" t="s">
        <v>349</v>
      </c>
      <c r="T135" s="205" t="s">
        <v>350</v>
      </c>
      <c r="U135" s="205" t="s">
        <v>351</v>
      </c>
      <c r="V135" s="298"/>
      <c r="W135"/>
      <c r="X135"/>
      <c r="Y135"/>
      <c r="Z135" s="41"/>
      <c r="AA135" s="41"/>
      <c r="AB135" s="41"/>
      <c r="AC135" s="41"/>
      <c r="AD135" s="41"/>
      <c r="AE135" s="41"/>
      <c r="AF135" s="41"/>
      <c r="AG135" s="41"/>
      <c r="AH135" s="41"/>
      <c r="AI135" s="41"/>
      <c r="AJ135" s="41"/>
      <c r="AK135" s="41"/>
      <c r="AL135" s="41"/>
      <c r="AM135" s="41"/>
      <c r="AN135" s="41"/>
      <c r="AO135" s="41"/>
      <c r="AP135" s="41"/>
      <c r="AQ135" s="41"/>
      <c r="AR135" s="41"/>
      <c r="AS135" s="41"/>
      <c r="AT135" s="41"/>
      <c r="AU135" s="41"/>
      <c r="AV135" s="41"/>
      <c r="AW135" s="41"/>
      <c r="AX135" s="41"/>
      <c r="AY135" s="41"/>
      <c r="AZ135" s="41"/>
      <c r="BA135" s="41"/>
      <c r="BB135" s="41"/>
      <c r="BC135" s="41"/>
      <c r="BD135" s="41"/>
      <c r="BE135" s="41"/>
    </row>
    <row r="136" spans="1:57" ht="18" hidden="1" customHeight="1">
      <c r="A136" s="107" t="s">
        <v>168</v>
      </c>
      <c r="B136" s="107" t="str">
        <f t="array" aca="1" ref="B136" ca="1">IFERROR(OFFSET(INDEX(7:7,SMALL(IF(7:7&lt;&gt;"",COLUMN(7:7)),COLUMN())),-4,0),"")</f>
        <v/>
      </c>
      <c r="C136" s="107" t="str">
        <f t="array" aca="1" ref="C136" ca="1">IFERROR(OFFSET(INDEX(7:7,SMALL(IF(7:7&lt;&gt;"",COLUMN(7:7)),COLUMN())),-4,0),"")</f>
        <v/>
      </c>
      <c r="D136" s="107" t="str">
        <f t="array" aca="1" ref="D136" ca="1">IFERROR(OFFSET(INDEX(7:7,SMALL(IF(7:7&lt;&gt;"",COLUMN(7:7)),COLUMN())),-4,0),"")</f>
        <v/>
      </c>
      <c r="E136" s="107" t="str">
        <f t="array" aca="1" ref="E136" ca="1">IFERROR(OFFSET(INDEX(7:7,SMALL(IF(7:7&lt;&gt;"",COLUMN(7:7)),COLUMN())),-4,0),"")</f>
        <v/>
      </c>
      <c r="F136" s="107" t="str">
        <f t="array" aca="1" ref="F136" ca="1">IFERROR(OFFSET(INDEX(7:7,SMALL(IF(7:7&lt;&gt;"",COLUMN(7:7)),COLUMN())),-4,0),"")</f>
        <v/>
      </c>
      <c r="G136" s="107" t="str">
        <f t="array" aca="1" ref="G136" ca="1">IFERROR(OFFSET(INDEX(7:7,SMALL(IF(7:7&lt;&gt;"",COLUMN(7:7)),COLUMN())),-4,0),"")</f>
        <v/>
      </c>
      <c r="H136" s="107" t="str">
        <f t="array" aca="1" ref="H136" ca="1">IFERROR(OFFSET(INDEX(7:7,SMALL(IF(7:7&lt;&gt;"",COLUMN(7:7)),COLUMN())),-4,0),"")</f>
        <v/>
      </c>
      <c r="I136" s="107" t="str">
        <f t="array" aca="1" ref="I136" ca="1">IFERROR(OFFSET(INDEX(7:7,SMALL(IF(7:7&lt;&gt;"",COLUMN(7:7)),COLUMN())),-4,0),"")</f>
        <v/>
      </c>
      <c r="J136" s="107" t="str">
        <f t="array" aca="1" ref="J136" ca="1">IFERROR(OFFSET(INDEX(7:7,SMALL(IF(7:7&lt;&gt;"",COLUMN(7:7)),COLUMN())),-4,0),"")</f>
        <v/>
      </c>
      <c r="K136" s="107" t="str">
        <f t="array" aca="1" ref="K136" ca="1">IFERROR(OFFSET(INDEX(7:7,SMALL(IF(7:7&lt;&gt;"",COLUMN(7:7)),COLUMN())),-4,0),"")</f>
        <v/>
      </c>
      <c r="L136" s="107" t="str">
        <f t="array" aca="1" ref="L136" ca="1">IFERROR(OFFSET(INDEX(7:7,SMALL(IF(7:7&lt;&gt;"",COLUMN(7:7)),COLUMN())),-4,0),"")</f>
        <v/>
      </c>
      <c r="M136" s="107" t="str">
        <f t="array" aca="1" ref="M136" ca="1">IFERROR(OFFSET(INDEX(7:7,SMALL(IF(7:7&lt;&gt;"",COLUMN(7:7)),COLUMN())),-4,0),"")</f>
        <v/>
      </c>
      <c r="N136" s="107" t="str">
        <f t="array" aca="1" ref="N136" ca="1">IFERROR(OFFSET(INDEX(7:7,SMALL(IF(7:7&lt;&gt;"",COLUMN(7:7)),COLUMN())),-4,0),"")</f>
        <v/>
      </c>
      <c r="O136" s="107" t="str">
        <f t="array" aca="1" ref="O136" ca="1">IFERROR(OFFSET(INDEX(7:7,SMALL(IF(7:7&lt;&gt;"",COLUMN(7:7)),COLUMN())),-4,0),"")</f>
        <v/>
      </c>
      <c r="P136" s="107" t="str">
        <f t="array" aca="1" ref="P136" ca="1">IFERROR(OFFSET(INDEX(7:7,SMALL(IF(7:7&lt;&gt;"",COLUMN(7:7)),COLUMN())),-4,0),"")</f>
        <v/>
      </c>
      <c r="Q136" s="107" t="str">
        <f t="array" aca="1" ref="Q136" ca="1">IFERROR(OFFSET(INDEX(7:7,SMALL(IF(7:7&lt;&gt;"",COLUMN(7:7)),COLUMN())),-4,0),"")</f>
        <v/>
      </c>
      <c r="R136" s="107" t="str">
        <f t="array" aca="1" ref="R136" ca="1">IFERROR(OFFSET(INDEX(7:7,SMALL(IF(7:7&lt;&gt;"",COLUMN(7:7)),COLUMN())),-4,0),"")</f>
        <v/>
      </c>
      <c r="S136" s="107" t="str">
        <f t="array" aca="1" ref="S136" ca="1">IFERROR(OFFSET(INDEX(7:7,SMALL(IF(7:7&lt;&gt;"",COLUMN(7:7)),COLUMN())),-4,0),"")</f>
        <v/>
      </c>
      <c r="T136" s="107" t="str">
        <f t="array" aca="1" ref="T136" ca="1">IFERROR(OFFSET(INDEX(7:7,SMALL(IF(7:7&lt;&gt;"",COLUMN(7:7)),COLUMN())),-4,0),"")</f>
        <v/>
      </c>
      <c r="U136" s="107" t="str">
        <f t="array" aca="1" ref="U136" ca="1">IFERROR(OFFSET(INDEX(7:7,SMALL(IF(7:7&lt;&gt;"",COLUMN(7:7)),COLUMN())),-4,0),"")</f>
        <v/>
      </c>
      <c r="V136" s="299"/>
      <c r="W136" s="41"/>
      <c r="X136" s="41"/>
      <c r="Y136" s="41"/>
    </row>
    <row r="137" spans="1:57" ht="18" hidden="1" customHeight="1">
      <c r="A137" s="107" t="str">
        <f t="array" ref="A137">IFERROR(INDEX(7:7,SMALL(IF(7:7&lt;&gt;"",COLUMN(7:7)),COLUMN())),"")</f>
        <v>追水量（L)</v>
      </c>
      <c r="B137" s="107" t="str">
        <f t="array" ref="B137">IFERROR(INDEX(7:7,SMALL(IF(7:7&lt;&gt;"",COLUMN(7:7)),COLUMN())),"")</f>
        <v/>
      </c>
      <c r="C137" s="107" t="str">
        <f t="array" ref="C137">IFERROR(INDEX(7:7,SMALL(IF(7:7&lt;&gt;"",COLUMN(7:7)),COLUMN())),"")</f>
        <v/>
      </c>
      <c r="D137" s="107" t="str">
        <f t="array" ref="D137">IFERROR(INDEX(7:7,SMALL(IF(7:7&lt;&gt;"",COLUMN(7:7)),COLUMN())),"")</f>
        <v/>
      </c>
      <c r="E137" s="107" t="str">
        <f t="array" ref="E137">IFERROR(INDEX(7:7,SMALL(IF(7:7&lt;&gt;"",COLUMN(7:7)),COLUMN())),"")</f>
        <v/>
      </c>
      <c r="F137" s="107" t="str">
        <f t="array" ref="F137">IFERROR(INDEX(7:7,SMALL(IF(7:7&lt;&gt;"",COLUMN(7:7)),COLUMN())),"")</f>
        <v/>
      </c>
      <c r="G137" s="107" t="str">
        <f t="array" ref="G137">IFERROR(INDEX(7:7,SMALL(IF(7:7&lt;&gt;"",COLUMN(7:7)),COLUMN())),"")</f>
        <v/>
      </c>
      <c r="H137" s="107" t="str">
        <f t="array" ref="H137">IFERROR(INDEX(7:7,SMALL(IF(7:7&lt;&gt;"",COLUMN(7:7)),COLUMN())),"")</f>
        <v/>
      </c>
      <c r="I137" s="107" t="str">
        <f t="array" ref="I137">IFERROR(INDEX(7:7,SMALL(IF(7:7&lt;&gt;"",COLUMN(7:7)),COLUMN())),"")</f>
        <v/>
      </c>
      <c r="J137" s="107" t="str">
        <f t="array" ref="J137">IFERROR(INDEX(7:7,SMALL(IF(7:7&lt;&gt;"",COLUMN(7:7)),COLUMN())),"")</f>
        <v/>
      </c>
      <c r="K137" s="107" t="str">
        <f t="array" ref="K137">IFERROR(INDEX(7:7,SMALL(IF(7:7&lt;&gt;"",COLUMN(7:7)),COLUMN())),"")</f>
        <v/>
      </c>
      <c r="L137" s="107" t="str">
        <f t="array" ref="L137">IFERROR(INDEX(7:7,SMALL(IF(7:7&lt;&gt;"",COLUMN(7:7)),COLUMN())),"")</f>
        <v/>
      </c>
      <c r="M137" s="107" t="str">
        <f t="array" ref="M137">IFERROR(INDEX(7:7,SMALL(IF(7:7&lt;&gt;"",COLUMN(7:7)),COLUMN())),"")</f>
        <v/>
      </c>
      <c r="N137" s="107" t="str">
        <f t="array" ref="N137">IFERROR(INDEX(7:7,SMALL(IF(7:7&lt;&gt;"",COLUMN(7:7)),COLUMN())),"")</f>
        <v/>
      </c>
      <c r="O137" s="107" t="str">
        <f t="array" ref="O137">IFERROR(INDEX(7:7,SMALL(IF(7:7&lt;&gt;"",COLUMN(7:7)),COLUMN())),"")</f>
        <v/>
      </c>
      <c r="P137" s="107" t="str">
        <f t="array" ref="P137">IFERROR(INDEX(7:7,SMALL(IF(7:7&lt;&gt;"",COLUMN(7:7)),COLUMN())),"")</f>
        <v/>
      </c>
      <c r="Q137" s="107" t="str">
        <f t="array" ref="Q137">IFERROR(INDEX(7:7,SMALL(IF(7:7&lt;&gt;"",COLUMN(7:7)),COLUMN())),"")</f>
        <v/>
      </c>
      <c r="R137" s="107" t="str">
        <f t="array" ref="R137">IFERROR(INDEX(7:7,SMALL(IF(7:7&lt;&gt;"",COLUMN(7:7)),COLUMN())),"")</f>
        <v/>
      </c>
      <c r="S137" s="107" t="str">
        <f t="array" ref="S137">IFERROR(INDEX(7:7,SMALL(IF(7:7&lt;&gt;"",COLUMN(7:7)),COLUMN())),"")</f>
        <v/>
      </c>
      <c r="T137" s="107" t="str">
        <f t="array" ref="T137">IFERROR(INDEX(7:7,SMALL(IF(7:7&lt;&gt;"",COLUMN(7:7)),COLUMN())),"")</f>
        <v/>
      </c>
      <c r="U137" s="107" t="str">
        <f t="array" ref="U137">IFERROR(INDEX(7:7,SMALL(IF(7:7&lt;&gt;"",COLUMN(7:7)),COLUMN())),"")</f>
        <v/>
      </c>
      <c r="V137" s="299"/>
      <c r="W137"/>
      <c r="X137" s="41"/>
      <c r="Y137" s="41"/>
      <c r="Z137" s="41"/>
      <c r="AA137" s="41"/>
      <c r="AB137" s="41"/>
      <c r="AC137" s="41"/>
      <c r="AD137" s="41"/>
      <c r="AE137" s="41"/>
      <c r="AF137" s="41"/>
      <c r="AG137" s="41"/>
      <c r="AH137" s="41"/>
      <c r="AI137" s="41"/>
      <c r="AJ137" s="41"/>
      <c r="AK137" s="41"/>
      <c r="AL137" s="41"/>
    </row>
    <row r="138" spans="1:57" ht="18" hidden="1" customHeight="1">
      <c r="A138" s="488" t="s">
        <v>169</v>
      </c>
      <c r="B138" s="488"/>
      <c r="C138" s="488"/>
      <c r="D138" s="211" t="s">
        <v>170</v>
      </c>
      <c r="E138" s="212" t="s">
        <v>171</v>
      </c>
      <c r="F138" s="212" t="s">
        <v>172</v>
      </c>
      <c r="G138" s="212" t="s">
        <v>173</v>
      </c>
      <c r="H138" s="212" t="s">
        <v>174</v>
      </c>
      <c r="I138" s="212" t="s">
        <v>175</v>
      </c>
      <c r="J138" s="212" t="s">
        <v>176</v>
      </c>
      <c r="K138" s="212" t="s">
        <v>177</v>
      </c>
      <c r="L138" s="213" t="s">
        <v>178</v>
      </c>
      <c r="M138" s="213" t="s">
        <v>179</v>
      </c>
      <c r="N138" s="213" t="s">
        <v>180</v>
      </c>
      <c r="O138" s="213" t="s">
        <v>352</v>
      </c>
      <c r="P138" s="213" t="s">
        <v>353</v>
      </c>
      <c r="Q138" s="213" t="s">
        <v>354</v>
      </c>
      <c r="R138" s="213" t="s">
        <v>355</v>
      </c>
      <c r="S138" s="213" t="s">
        <v>356</v>
      </c>
      <c r="T138" s="213" t="s">
        <v>357</v>
      </c>
      <c r="U138" s="213" t="s">
        <v>358</v>
      </c>
      <c r="V138" s="213" t="s">
        <v>359</v>
      </c>
      <c r="W138" s="213" t="s">
        <v>360</v>
      </c>
      <c r="X138" s="213" t="s">
        <v>361</v>
      </c>
      <c r="Y138" s="41"/>
      <c r="Z138" s="41"/>
      <c r="AA138" s="41"/>
      <c r="AB138" s="41"/>
      <c r="AC138" s="41"/>
      <c r="AD138" s="41"/>
      <c r="AE138" s="41"/>
      <c r="AF138" s="41"/>
      <c r="AG138" s="41"/>
      <c r="AH138" s="41"/>
      <c r="AI138" s="41"/>
      <c r="AJ138" s="41"/>
      <c r="AK138" s="41"/>
      <c r="AL138" s="41"/>
      <c r="AM138" s="41"/>
      <c r="AN138" s="41"/>
      <c r="AO138" s="41"/>
      <c r="AP138" s="41"/>
      <c r="AQ138" s="41"/>
      <c r="AR138" s="41"/>
      <c r="AS138" s="41"/>
      <c r="AT138" s="41"/>
      <c r="AU138" s="41"/>
      <c r="AV138" s="41"/>
      <c r="AW138" s="41"/>
      <c r="AX138" s="41"/>
      <c r="AY138" s="41"/>
      <c r="AZ138" s="41"/>
      <c r="BA138" s="41"/>
      <c r="BB138" s="41"/>
      <c r="BC138" s="41"/>
      <c r="BD138" s="41"/>
      <c r="BE138" s="41"/>
    </row>
    <row r="139" spans="1:57" ht="18" hidden="1" customHeight="1">
      <c r="A139" s="489"/>
      <c r="B139" s="489"/>
      <c r="C139" s="489"/>
      <c r="D139" s="166" t="e">
        <f>SUM(D74:O74)/SUM(D71:O71)*100</f>
        <v>#DIV/0!</v>
      </c>
      <c r="E139" s="166" t="e">
        <f>(SUM(D74:O74)+SUM(B137:B137))/SUM(D71:O71)*100</f>
        <v>#DIV/0!</v>
      </c>
      <c r="F139" s="166" t="e">
        <f>(SUM(D74:O74)+SUM(B137:C137))/SUM(D71:O71)*100</f>
        <v>#DIV/0!</v>
      </c>
      <c r="G139" s="166" t="e">
        <f>(SUM(D74:O74)+SUM(B137:D137))/SUM(D71:O71)*100</f>
        <v>#DIV/0!</v>
      </c>
      <c r="H139" s="166" t="e">
        <f>(SUM(D74:O74)+SUM(B137:E137))/SUM(D71:O71)*100</f>
        <v>#DIV/0!</v>
      </c>
      <c r="I139" s="214" t="e">
        <f>(SUM(D74:O74)+SUM(B137:F137))/SUM(D71:O71)*100</f>
        <v>#DIV/0!</v>
      </c>
      <c r="J139" s="166" t="e">
        <f>(SUM(D74:O74)+SUM(B137:G137))/SUM(D71:O71)*100</f>
        <v>#DIV/0!</v>
      </c>
      <c r="K139" s="166" t="e">
        <f>(SUM(D74:O74)+SUM(B137:H137))/SUM(D71:O71)*100</f>
        <v>#DIV/0!</v>
      </c>
      <c r="L139" s="166" t="e">
        <f>(SUM(D74:O74)+SUM(B137:I137))/SUM(D71:O71)*100</f>
        <v>#DIV/0!</v>
      </c>
      <c r="M139" s="166" t="e">
        <f>(SUM(D74:O74)+SUM(B137:J137))/SUM(D71:O71)*100</f>
        <v>#DIV/0!</v>
      </c>
      <c r="N139" s="166" t="e">
        <f>(SUM($D74:$O74)+SUM($B137:K137))/SUM($D71:$O71)*100</f>
        <v>#DIV/0!</v>
      </c>
      <c r="O139" s="166" t="e">
        <f>(SUM($D74:$O74)+SUM($B137:L137))/SUM($D71:$O71)*100</f>
        <v>#DIV/0!</v>
      </c>
      <c r="P139" s="166" t="e">
        <f>(SUM($D74:$O74)+SUM($B137:M137))/SUM($D71:$O71)*100</f>
        <v>#DIV/0!</v>
      </c>
      <c r="Q139" s="166" t="e">
        <f>(SUM($D74:$O74)+SUM($B137:N137))/SUM($D71:$O71)*100</f>
        <v>#DIV/0!</v>
      </c>
      <c r="R139" s="166" t="e">
        <f>(SUM($D74:$O74)+SUM($B137:O137))/SUM($D71:$O71)*100</f>
        <v>#DIV/0!</v>
      </c>
      <c r="S139" s="166" t="e">
        <f>(SUM($D74:$O74)+SUM($B137:P137))/SUM($D71:$O71)*100</f>
        <v>#DIV/0!</v>
      </c>
      <c r="T139" s="166" t="e">
        <f>(SUM($D74:$O74)+SUM($B137:Q137))/SUM($D71:$O71)*100</f>
        <v>#DIV/0!</v>
      </c>
      <c r="U139" s="166" t="e">
        <f>(SUM($D74:$O74)+SUM($B137:R137))/SUM($D71:$O71)*100</f>
        <v>#DIV/0!</v>
      </c>
      <c r="V139" s="166" t="e">
        <f>(SUM($D74:$O74)+SUM($B137:S137))/SUM($D71:$O71)*100</f>
        <v>#DIV/0!</v>
      </c>
      <c r="W139" s="166" t="e">
        <f>(SUM($D74:$O74)+SUM($B137:T137))/SUM($D71:$O71)*100</f>
        <v>#DIV/0!</v>
      </c>
      <c r="X139" s="166" t="e">
        <f>(SUM($D74:$O74)+SUM($B137:U137))/SUM($D71:$O71)*100</f>
        <v>#DIV/0!</v>
      </c>
      <c r="Y139" s="41"/>
      <c r="Z139" s="41"/>
      <c r="AA139" s="41"/>
      <c r="AB139" s="41"/>
      <c r="AC139" s="41"/>
      <c r="AD139" s="41"/>
      <c r="AE139" s="41"/>
      <c r="AF139" s="41"/>
      <c r="AG139" s="41"/>
      <c r="AH139" s="41"/>
      <c r="AI139" s="41"/>
      <c r="AJ139" s="41"/>
      <c r="AK139" s="41"/>
      <c r="AL139" s="41"/>
      <c r="AM139" s="41"/>
      <c r="AN139" s="41"/>
      <c r="AO139" s="41"/>
      <c r="AP139" s="41"/>
      <c r="AQ139" s="41"/>
      <c r="AR139" s="41"/>
      <c r="AS139" s="41"/>
      <c r="AT139" s="41"/>
      <c r="AU139" s="41"/>
      <c r="AV139" s="41"/>
      <c r="AW139" s="41"/>
      <c r="AX139" s="41"/>
      <c r="AY139" s="41"/>
      <c r="AZ139" s="41"/>
      <c r="BA139" s="41"/>
      <c r="BB139" s="41"/>
      <c r="BC139" s="41"/>
      <c r="BD139" s="41"/>
      <c r="BE139" s="41"/>
    </row>
    <row r="140" spans="1:57" ht="18" hidden="1" customHeight="1">
      <c r="A140" s="490" t="s">
        <v>181</v>
      </c>
      <c r="B140" s="363"/>
      <c r="C140" s="363"/>
      <c r="D140" s="108"/>
      <c r="E140" s="108"/>
      <c r="F140" s="108"/>
      <c r="G140" s="108"/>
      <c r="H140" s="108"/>
      <c r="I140" s="108"/>
      <c r="J140" s="108"/>
      <c r="K140" s="108"/>
      <c r="L140" s="108"/>
      <c r="M140" s="108"/>
      <c r="N140" s="108"/>
      <c r="O140" s="108"/>
      <c r="P140" s="108"/>
      <c r="Q140" s="108"/>
      <c r="R140" s="108"/>
      <c r="S140" s="127" t="e">
        <f t="shared" ref="S140:BE140" si="74">IF(S16="",NA(),IF(S3&lt;=$B$136,S16*$D$139/100,IF(S3&lt;=$C$136,S16*$E$139/100,IF(S3&lt;=$D$136,S16*$F$139/100,IF(S3&lt;=$E$136,S16*$G$139/100,IF(S3&lt;=$F$136,S16*$H$139/100,IF(S3&lt;=$G$136,S16*$I$139/100,IF(S3&lt;=$H$136,S16*$J$139/100,IF(S3&lt;=$I$136,S16*$K$139/100,IF(S3&lt;=$J$136,S16*$L$139/100,IF(S3&lt;=$K$136,S16*$M$139/100,S16*$N$139/100)))))))))))</f>
        <v>#N/A</v>
      </c>
      <c r="T140" s="208" t="e">
        <f>IF(T16="",NA(),IF(T3&lt;=$B$136,T16*$D$139/100,IF(T3&lt;=$C$136,T16*$E$139/100,IF(T3&lt;=$D$136,T16*$F$139/100,IF(T3&lt;=$E$136,T16*$G$139/100,IF(T3&lt;=$F$136,T16*$H$139/100,IF(T3&lt;=$G$136,T16*$I$139/100,IF(T3&lt;=$H$136,T16*$J$139/100,IF(T3&lt;=$I$136,T16*$K$139/100,IF(T3&lt;=$J$136,T16*$L$139/100,IF(T3&lt;=$K$136,T16*$M$139/100,T16*$N$139/100)))))))))))</f>
        <v>#N/A</v>
      </c>
      <c r="U140" s="127" t="e">
        <f t="shared" si="74"/>
        <v>#N/A</v>
      </c>
      <c r="V140" s="127" t="e">
        <f t="shared" si="74"/>
        <v>#N/A</v>
      </c>
      <c r="W140" s="127" t="e">
        <f t="shared" si="74"/>
        <v>#N/A</v>
      </c>
      <c r="X140" s="127" t="e">
        <f t="shared" si="74"/>
        <v>#N/A</v>
      </c>
      <c r="Y140" s="127" t="e">
        <f t="shared" si="74"/>
        <v>#N/A</v>
      </c>
      <c r="Z140" s="127" t="e">
        <f t="shared" si="74"/>
        <v>#N/A</v>
      </c>
      <c r="AA140" s="127" t="e">
        <f t="shared" si="74"/>
        <v>#N/A</v>
      </c>
      <c r="AB140" s="127" t="e">
        <f t="shared" si="74"/>
        <v>#N/A</v>
      </c>
      <c r="AC140" s="127" t="e">
        <f t="shared" si="74"/>
        <v>#N/A</v>
      </c>
      <c r="AD140" s="127" t="e">
        <f t="shared" si="74"/>
        <v>#N/A</v>
      </c>
      <c r="AE140" s="127" t="e">
        <f t="shared" si="74"/>
        <v>#N/A</v>
      </c>
      <c r="AF140" s="127" t="e">
        <f t="shared" si="74"/>
        <v>#N/A</v>
      </c>
      <c r="AG140" s="127" t="e">
        <f t="shared" si="74"/>
        <v>#N/A</v>
      </c>
      <c r="AH140" s="127" t="e">
        <f t="shared" si="74"/>
        <v>#N/A</v>
      </c>
      <c r="AI140" s="127" t="e">
        <f t="shared" si="74"/>
        <v>#N/A</v>
      </c>
      <c r="AJ140" s="127" t="e">
        <f t="shared" si="74"/>
        <v>#N/A</v>
      </c>
      <c r="AK140" s="127" t="e">
        <f t="shared" si="74"/>
        <v>#N/A</v>
      </c>
      <c r="AL140" s="127" t="e">
        <f t="shared" si="74"/>
        <v>#N/A</v>
      </c>
      <c r="AM140" s="127" t="e">
        <f t="shared" si="74"/>
        <v>#N/A</v>
      </c>
      <c r="AN140" s="127" t="e">
        <f t="shared" si="74"/>
        <v>#N/A</v>
      </c>
      <c r="AO140" s="127" t="e">
        <f t="shared" si="74"/>
        <v>#N/A</v>
      </c>
      <c r="AP140" s="127" t="e">
        <f t="shared" si="74"/>
        <v>#N/A</v>
      </c>
      <c r="AQ140" s="127" t="e">
        <f t="shared" si="74"/>
        <v>#N/A</v>
      </c>
      <c r="AR140" s="127" t="e">
        <f t="shared" si="74"/>
        <v>#N/A</v>
      </c>
      <c r="AS140" s="127" t="e">
        <f t="shared" si="74"/>
        <v>#N/A</v>
      </c>
      <c r="AT140" s="127" t="e">
        <f t="shared" si="74"/>
        <v>#N/A</v>
      </c>
      <c r="AU140" s="127" t="e">
        <f t="shared" si="74"/>
        <v>#N/A</v>
      </c>
      <c r="AV140" s="127" t="e">
        <f t="shared" si="74"/>
        <v>#N/A</v>
      </c>
      <c r="AW140" s="127" t="e">
        <f t="shared" si="74"/>
        <v>#N/A</v>
      </c>
      <c r="AX140" s="127" t="e">
        <f t="shared" si="74"/>
        <v>#N/A</v>
      </c>
      <c r="AY140" s="127" t="e">
        <f t="shared" si="74"/>
        <v>#N/A</v>
      </c>
      <c r="AZ140" s="127" t="e">
        <f t="shared" si="74"/>
        <v>#N/A</v>
      </c>
      <c r="BA140" s="127" t="e">
        <f t="shared" si="74"/>
        <v>#N/A</v>
      </c>
      <c r="BB140" s="127" t="e">
        <f t="shared" si="74"/>
        <v>#N/A</v>
      </c>
      <c r="BC140" s="127" t="e">
        <f t="shared" si="74"/>
        <v>#N/A</v>
      </c>
      <c r="BD140" s="127" t="e">
        <f t="shared" si="74"/>
        <v>#N/A</v>
      </c>
      <c r="BE140" s="127" t="e">
        <f t="shared" si="74"/>
        <v>#N/A</v>
      </c>
    </row>
    <row r="141" spans="1:57" ht="18" hidden="1" customHeight="1">
      <c r="A141" s="490" t="s">
        <v>182</v>
      </c>
      <c r="B141" s="363"/>
      <c r="C141" s="363"/>
      <c r="D141" s="108"/>
      <c r="E141" s="108"/>
      <c r="F141" s="108"/>
      <c r="G141" s="108"/>
      <c r="H141" s="108"/>
      <c r="I141" s="108"/>
      <c r="J141" s="108"/>
      <c r="K141" s="108"/>
      <c r="L141" s="108"/>
      <c r="M141" s="108"/>
      <c r="N141" s="108"/>
      <c r="O141" s="108"/>
      <c r="P141" s="108"/>
      <c r="Q141" s="108"/>
      <c r="R141" s="108"/>
      <c r="S141" s="127" t="e">
        <f t="shared" ref="S141:BE141" si="75">IF(S131="",NA(),IF(S3&lt;=$B$136,S131*$D$139/100,IF(S3&lt;=$C$136,S131*$E$139/100,IF(S3&lt;=$D$136,S131*$F$139/100,IF(S3&lt;=$E$136,S131*$G$139/100,IF(S3&lt;=$F$136,S131*$H$139/100,IF(S3&lt;=$G$136,S131*$I$139/100,IF(S3&lt;=$H$136,S131*$J$139/100,IF(S3&lt;=$I$136,S131*$K$139/100,IF(S3&lt;=$J$136,S131*$L$139/100,IF(S3&lt;=$K$136,S131*$M$139/100,S131*$N$139/100)))))))))))</f>
        <v>#N/A</v>
      </c>
      <c r="T141" s="208" t="e">
        <f t="shared" si="75"/>
        <v>#N/A</v>
      </c>
      <c r="U141" s="127" t="e">
        <f t="shared" si="75"/>
        <v>#N/A</v>
      </c>
      <c r="V141" s="127" t="e">
        <f t="shared" si="75"/>
        <v>#N/A</v>
      </c>
      <c r="W141" s="127" t="e">
        <f t="shared" si="75"/>
        <v>#N/A</v>
      </c>
      <c r="X141" s="127" t="e">
        <f t="shared" si="75"/>
        <v>#N/A</v>
      </c>
      <c r="Y141" s="127" t="e">
        <f t="shared" si="75"/>
        <v>#N/A</v>
      </c>
      <c r="Z141" s="127" t="e">
        <f t="shared" si="75"/>
        <v>#N/A</v>
      </c>
      <c r="AA141" s="127" t="e">
        <f t="shared" si="75"/>
        <v>#N/A</v>
      </c>
      <c r="AB141" s="127" t="e">
        <f t="shared" si="75"/>
        <v>#N/A</v>
      </c>
      <c r="AC141" s="127" t="e">
        <f t="shared" si="75"/>
        <v>#N/A</v>
      </c>
      <c r="AD141" s="127" t="e">
        <f t="shared" si="75"/>
        <v>#N/A</v>
      </c>
      <c r="AE141" s="127" t="e">
        <f t="shared" si="75"/>
        <v>#N/A</v>
      </c>
      <c r="AF141" s="127" t="e">
        <f t="shared" si="75"/>
        <v>#N/A</v>
      </c>
      <c r="AG141" s="127" t="e">
        <f t="shared" si="75"/>
        <v>#N/A</v>
      </c>
      <c r="AH141" s="127" t="e">
        <f t="shared" si="75"/>
        <v>#N/A</v>
      </c>
      <c r="AI141" s="127" t="e">
        <f t="shared" si="75"/>
        <v>#N/A</v>
      </c>
      <c r="AJ141" s="127" t="e">
        <f t="shared" si="75"/>
        <v>#N/A</v>
      </c>
      <c r="AK141" s="127" t="e">
        <f t="shared" si="75"/>
        <v>#N/A</v>
      </c>
      <c r="AL141" s="127" t="e">
        <f t="shared" si="75"/>
        <v>#N/A</v>
      </c>
      <c r="AM141" s="127" t="e">
        <f t="shared" si="75"/>
        <v>#N/A</v>
      </c>
      <c r="AN141" s="127" t="e">
        <f t="shared" si="75"/>
        <v>#N/A</v>
      </c>
      <c r="AO141" s="127" t="e">
        <f t="shared" si="75"/>
        <v>#N/A</v>
      </c>
      <c r="AP141" s="127" t="e">
        <f t="shared" si="75"/>
        <v>#N/A</v>
      </c>
      <c r="AQ141" s="127" t="e">
        <f t="shared" si="75"/>
        <v>#N/A</v>
      </c>
      <c r="AR141" s="127" t="e">
        <f t="shared" si="75"/>
        <v>#N/A</v>
      </c>
      <c r="AS141" s="127" t="e">
        <f t="shared" si="75"/>
        <v>#N/A</v>
      </c>
      <c r="AT141" s="127" t="e">
        <f t="shared" si="75"/>
        <v>#N/A</v>
      </c>
      <c r="AU141" s="127" t="e">
        <f t="shared" si="75"/>
        <v>#N/A</v>
      </c>
      <c r="AV141" s="127" t="e">
        <f t="shared" si="75"/>
        <v>#N/A</v>
      </c>
      <c r="AW141" s="127" t="e">
        <f t="shared" si="75"/>
        <v>#N/A</v>
      </c>
      <c r="AX141" s="127" t="e">
        <f t="shared" si="75"/>
        <v>#N/A</v>
      </c>
      <c r="AY141" s="127" t="e">
        <f t="shared" si="75"/>
        <v>#N/A</v>
      </c>
      <c r="AZ141" s="127" t="e">
        <f t="shared" si="75"/>
        <v>#N/A</v>
      </c>
      <c r="BA141" s="127" t="e">
        <f t="shared" si="75"/>
        <v>#N/A</v>
      </c>
      <c r="BB141" s="127" t="e">
        <f t="shared" si="75"/>
        <v>#N/A</v>
      </c>
      <c r="BC141" s="127" t="e">
        <f t="shared" si="75"/>
        <v>#N/A</v>
      </c>
      <c r="BD141" s="127" t="e">
        <f t="shared" si="75"/>
        <v>#N/A</v>
      </c>
      <c r="BE141" s="127" t="e">
        <f t="shared" si="75"/>
        <v>#N/A</v>
      </c>
    </row>
    <row r="142" spans="1:57" ht="18" hidden="1" customHeight="1">
      <c r="A142" s="490" t="s">
        <v>183</v>
      </c>
      <c r="B142" s="363"/>
      <c r="C142" s="363"/>
      <c r="D142" s="108"/>
      <c r="E142" s="108"/>
      <c r="F142" s="108"/>
      <c r="G142" s="108"/>
      <c r="H142" s="108"/>
      <c r="I142" s="108"/>
      <c r="J142" s="108"/>
      <c r="K142" s="108"/>
      <c r="L142" s="108"/>
      <c r="M142" s="108"/>
      <c r="N142" s="108"/>
      <c r="O142" s="108"/>
      <c r="P142" s="108"/>
      <c r="Q142" s="108"/>
      <c r="R142" s="108"/>
      <c r="S142" s="127" t="e">
        <f t="shared" ref="S142:BE142" si="76">IF(S19="",NA(),IF(S3&lt;=$B$136,S19*$D$139/100,IF(S3&lt;=$C$136,S19*$E$139/100,IF(S3&lt;=$D$136,S19*$F$139/100,IF(S3&lt;=$E$136,S19*$G$139/100,IF(S3&lt;=$F$136,S19*$H$139/100,IF(S3&lt;=$G$136,S19*$I$139/100,IF(S3&lt;=$H$136,S19*$J$139/100,IF(S3&lt;=$I$136,S19*$K$139/100,IF(S3&lt;=$J$136,S19*$L$139/100,IF(S3&lt;=$K$136,S19*$M$139/100,S19*$N$139/100)))))))))))</f>
        <v>#N/A</v>
      </c>
      <c r="T142" s="208" t="e">
        <f t="shared" si="76"/>
        <v>#N/A</v>
      </c>
      <c r="U142" s="127" t="e">
        <f t="shared" si="76"/>
        <v>#N/A</v>
      </c>
      <c r="V142" s="127" t="e">
        <f>IF(V19="",NA(),IF(V3&lt;=$B$136,V19*$D$139/100,IF(V3&lt;=$C$136,V19*$E$139/100,IF(V3&lt;=$D$136,V19*$F$139/100,IF(V3&lt;=$E$136,V19*$G$139/100,IF(V3&lt;=$F$136,V19*$H$139/100,IF(V3&lt;=$G$136,V19*$I$139/100,IF(V3&lt;=$H$136,V19*$J$139/100,IF(V3&lt;=$I$136,V19*$K$139/100,IF(V3&lt;=$J$136,V19*$L$139/100,IF(V3&lt;=$K$136,V19*$M$139/100,V19*$N$139/100)))))))))))</f>
        <v>#N/A</v>
      </c>
      <c r="W142" s="127" t="e">
        <f t="shared" si="76"/>
        <v>#N/A</v>
      </c>
      <c r="X142" s="127" t="e">
        <f t="shared" si="76"/>
        <v>#N/A</v>
      </c>
      <c r="Y142" s="127" t="e">
        <f t="shared" si="76"/>
        <v>#N/A</v>
      </c>
      <c r="Z142" s="127" t="e">
        <f t="shared" si="76"/>
        <v>#N/A</v>
      </c>
      <c r="AA142" s="127" t="e">
        <f t="shared" si="76"/>
        <v>#N/A</v>
      </c>
      <c r="AB142" s="127" t="e">
        <f t="shared" si="76"/>
        <v>#N/A</v>
      </c>
      <c r="AC142" s="127" t="e">
        <f t="shared" si="76"/>
        <v>#N/A</v>
      </c>
      <c r="AD142" s="127" t="e">
        <f t="shared" si="76"/>
        <v>#N/A</v>
      </c>
      <c r="AE142" s="127" t="e">
        <f t="shared" si="76"/>
        <v>#N/A</v>
      </c>
      <c r="AF142" s="127" t="e">
        <f t="shared" si="76"/>
        <v>#N/A</v>
      </c>
      <c r="AG142" s="127" t="e">
        <f t="shared" si="76"/>
        <v>#N/A</v>
      </c>
      <c r="AH142" s="127" t="e">
        <f t="shared" si="76"/>
        <v>#N/A</v>
      </c>
      <c r="AI142" s="127" t="e">
        <f t="shared" si="76"/>
        <v>#N/A</v>
      </c>
      <c r="AJ142" s="127" t="e">
        <f t="shared" si="76"/>
        <v>#N/A</v>
      </c>
      <c r="AK142" s="127" t="e">
        <f t="shared" si="76"/>
        <v>#N/A</v>
      </c>
      <c r="AL142" s="127" t="e">
        <f t="shared" si="76"/>
        <v>#N/A</v>
      </c>
      <c r="AM142" s="127" t="e">
        <f t="shared" si="76"/>
        <v>#N/A</v>
      </c>
      <c r="AN142" s="127" t="e">
        <f t="shared" si="76"/>
        <v>#N/A</v>
      </c>
      <c r="AO142" s="127" t="e">
        <f t="shared" si="76"/>
        <v>#N/A</v>
      </c>
      <c r="AP142" s="127" t="e">
        <f t="shared" si="76"/>
        <v>#N/A</v>
      </c>
      <c r="AQ142" s="127" t="e">
        <f t="shared" si="76"/>
        <v>#N/A</v>
      </c>
      <c r="AR142" s="127" t="e">
        <f t="shared" si="76"/>
        <v>#N/A</v>
      </c>
      <c r="AS142" s="127" t="e">
        <f t="shared" si="76"/>
        <v>#N/A</v>
      </c>
      <c r="AT142" s="127" t="e">
        <f t="shared" si="76"/>
        <v>#N/A</v>
      </c>
      <c r="AU142" s="127" t="e">
        <f t="shared" si="76"/>
        <v>#N/A</v>
      </c>
      <c r="AV142" s="127" t="e">
        <f t="shared" si="76"/>
        <v>#N/A</v>
      </c>
      <c r="AW142" s="127" t="e">
        <f t="shared" si="76"/>
        <v>#N/A</v>
      </c>
      <c r="AX142" s="127" t="e">
        <f t="shared" si="76"/>
        <v>#N/A</v>
      </c>
      <c r="AY142" s="127" t="e">
        <f t="shared" si="76"/>
        <v>#N/A</v>
      </c>
      <c r="AZ142" s="127" t="e">
        <f t="shared" si="76"/>
        <v>#N/A</v>
      </c>
      <c r="BA142" s="127" t="e">
        <f t="shared" si="76"/>
        <v>#N/A</v>
      </c>
      <c r="BB142" s="127" t="e">
        <f t="shared" si="76"/>
        <v>#N/A</v>
      </c>
      <c r="BC142" s="127" t="e">
        <f t="shared" si="76"/>
        <v>#N/A</v>
      </c>
      <c r="BD142" s="127" t="e">
        <f t="shared" si="76"/>
        <v>#N/A</v>
      </c>
      <c r="BE142" s="127" t="e">
        <f t="shared" si="76"/>
        <v>#N/A</v>
      </c>
    </row>
    <row r="143" spans="1:57" ht="18" hidden="1" customHeight="1">
      <c r="A143" s="478" t="s">
        <v>185</v>
      </c>
      <c r="B143" s="307" t="s">
        <v>186</v>
      </c>
      <c r="C143" s="308"/>
      <c r="D143" s="193"/>
      <c r="E143" s="193"/>
      <c r="F143" s="193"/>
      <c r="G143" s="193"/>
      <c r="H143" s="193"/>
      <c r="I143" s="193"/>
      <c r="J143" s="193"/>
      <c r="K143" s="193"/>
      <c r="L143" s="193"/>
      <c r="M143" s="193"/>
      <c r="N143" s="193"/>
      <c r="O143" s="193"/>
      <c r="P143" s="193"/>
      <c r="Q143" s="193"/>
      <c r="R143" s="193"/>
      <c r="S143" s="115" t="e">
        <f ca="1">IF(S140="",NA(),IF(OFFSET(S140,0,$I$31*(-1))="",NA(),(S140-OFFSET(S140,0,$I$31*(-1)))*1.5848))</f>
        <v>#N/A</v>
      </c>
      <c r="T143" s="209" t="e">
        <f t="shared" ref="T143:BE143" ca="1" si="77">IF(T140="",NA(),IF(OFFSET(T140,0,$I$31*(-1))="",NA(),(T140-OFFSET(T140,0,$I$31*(-1)))*1.5848))</f>
        <v>#N/A</v>
      </c>
      <c r="U143" s="115" t="e">
        <f t="shared" ca="1" si="77"/>
        <v>#N/A</v>
      </c>
      <c r="V143" s="115" t="e">
        <f t="shared" ca="1" si="77"/>
        <v>#N/A</v>
      </c>
      <c r="W143" s="115" t="e">
        <f ca="1">IF(W140="",NA(),IF(OFFSET(W140,0,$I$31*(-1))="",NA(),(W140-OFFSET(W140,0,$I$31*(-1)))*1.5848))</f>
        <v>#N/A</v>
      </c>
      <c r="X143" s="115" t="e">
        <f t="shared" ca="1" si="77"/>
        <v>#N/A</v>
      </c>
      <c r="Y143" s="115" t="e">
        <f t="shared" ca="1" si="77"/>
        <v>#N/A</v>
      </c>
      <c r="Z143" s="115" t="e">
        <f ca="1">IF(Z140="",NA(),IF(OFFSET(Z140,0,$I$31*(-1))="",NA(),(Z140-OFFSET(Z140,0,$I$31*(-1)))*1.5848))</f>
        <v>#N/A</v>
      </c>
      <c r="AA143" s="115" t="e">
        <f ca="1">IF(AA140="",NA(),IF(OFFSET(AA140,0,$I$31*(-1))="",NA(),(AA140-OFFSET(AA140,0,$I$31*(-1)))*1.5848))</f>
        <v>#N/A</v>
      </c>
      <c r="AB143" s="115" t="e">
        <f t="shared" ca="1" si="77"/>
        <v>#N/A</v>
      </c>
      <c r="AC143" s="115" t="e">
        <f t="shared" ca="1" si="77"/>
        <v>#N/A</v>
      </c>
      <c r="AD143" s="115" t="e">
        <f t="shared" ca="1" si="77"/>
        <v>#N/A</v>
      </c>
      <c r="AE143" s="115" t="e">
        <f t="shared" ca="1" si="77"/>
        <v>#N/A</v>
      </c>
      <c r="AF143" s="115" t="e">
        <f t="shared" ca="1" si="77"/>
        <v>#N/A</v>
      </c>
      <c r="AG143" s="115" t="e">
        <f t="shared" ca="1" si="77"/>
        <v>#N/A</v>
      </c>
      <c r="AH143" s="115" t="e">
        <f t="shared" ca="1" si="77"/>
        <v>#N/A</v>
      </c>
      <c r="AI143" s="115" t="e">
        <f t="shared" ca="1" si="77"/>
        <v>#N/A</v>
      </c>
      <c r="AJ143" s="115" t="e">
        <f t="shared" ca="1" si="77"/>
        <v>#N/A</v>
      </c>
      <c r="AK143" s="115" t="e">
        <f t="shared" ca="1" si="77"/>
        <v>#N/A</v>
      </c>
      <c r="AL143" s="115" t="e">
        <f t="shared" ca="1" si="77"/>
        <v>#N/A</v>
      </c>
      <c r="AM143" s="115" t="e">
        <f t="shared" ca="1" si="77"/>
        <v>#N/A</v>
      </c>
      <c r="AN143" s="115" t="e">
        <f t="shared" ca="1" si="77"/>
        <v>#N/A</v>
      </c>
      <c r="AO143" s="115" t="e">
        <f t="shared" ca="1" si="77"/>
        <v>#N/A</v>
      </c>
      <c r="AP143" s="115" t="e">
        <f t="shared" ca="1" si="77"/>
        <v>#N/A</v>
      </c>
      <c r="AQ143" s="115" t="e">
        <f t="shared" ca="1" si="77"/>
        <v>#N/A</v>
      </c>
      <c r="AR143" s="115" t="e">
        <f t="shared" ca="1" si="77"/>
        <v>#N/A</v>
      </c>
      <c r="AS143" s="115" t="e">
        <f t="shared" ca="1" si="77"/>
        <v>#N/A</v>
      </c>
      <c r="AT143" s="115" t="e">
        <f t="shared" ca="1" si="77"/>
        <v>#N/A</v>
      </c>
      <c r="AU143" s="115" t="e">
        <f t="shared" ca="1" si="77"/>
        <v>#N/A</v>
      </c>
      <c r="AV143" s="115" t="e">
        <f t="shared" ca="1" si="77"/>
        <v>#N/A</v>
      </c>
      <c r="AW143" s="115" t="e">
        <f t="shared" ca="1" si="77"/>
        <v>#N/A</v>
      </c>
      <c r="AX143" s="115" t="e">
        <f t="shared" ca="1" si="77"/>
        <v>#N/A</v>
      </c>
      <c r="AY143" s="115" t="e">
        <f t="shared" ca="1" si="77"/>
        <v>#N/A</v>
      </c>
      <c r="AZ143" s="115" t="e">
        <f t="shared" ca="1" si="77"/>
        <v>#N/A</v>
      </c>
      <c r="BA143" s="115" t="e">
        <f t="shared" ca="1" si="77"/>
        <v>#N/A</v>
      </c>
      <c r="BB143" s="115" t="e">
        <f t="shared" ca="1" si="77"/>
        <v>#N/A</v>
      </c>
      <c r="BC143" s="115" t="e">
        <f t="shared" ca="1" si="77"/>
        <v>#N/A</v>
      </c>
      <c r="BD143" s="115" t="e">
        <f t="shared" ca="1" si="77"/>
        <v>#N/A</v>
      </c>
      <c r="BE143" s="115" t="e">
        <f t="shared" ca="1" si="77"/>
        <v>#N/A</v>
      </c>
    </row>
    <row r="144" spans="1:57" ht="18" hidden="1" customHeight="1">
      <c r="A144" s="478"/>
      <c r="B144" s="307" t="s">
        <v>187</v>
      </c>
      <c r="C144" s="308"/>
      <c r="D144" s="193"/>
      <c r="E144" s="193"/>
      <c r="F144" s="193"/>
      <c r="G144" s="193"/>
      <c r="H144" s="193"/>
      <c r="I144" s="193"/>
      <c r="J144" s="193"/>
      <c r="K144" s="193"/>
      <c r="L144" s="193"/>
      <c r="M144" s="193"/>
      <c r="N144" s="193"/>
      <c r="O144" s="193"/>
      <c r="P144" s="193"/>
      <c r="Q144" s="193"/>
      <c r="R144" s="193"/>
      <c r="S144" s="115" t="e">
        <f t="shared" ref="S144:BE144" ca="1" si="78">IF(S141="",NA(),IF(OFFSET(S141,0,$I$31*(-1))="",NA(),S141-OFFSET(S141,0,$I$31*(-1))+S143))</f>
        <v>#N/A</v>
      </c>
      <c r="T144" s="209" t="e">
        <f t="shared" ca="1" si="78"/>
        <v>#N/A</v>
      </c>
      <c r="U144" s="115" t="e">
        <f t="shared" ca="1" si="78"/>
        <v>#N/A</v>
      </c>
      <c r="V144" s="115" t="e">
        <f t="shared" ca="1" si="78"/>
        <v>#N/A</v>
      </c>
      <c r="W144" s="115" t="e">
        <f ca="1">IF(W141="",NA(),IF(OFFSET(W141,0,$I$31*(-1))="",NA(),W141-OFFSET(W141,0,$I$31*(-1))+W143))</f>
        <v>#N/A</v>
      </c>
      <c r="X144" s="115" t="e">
        <f t="shared" ca="1" si="78"/>
        <v>#N/A</v>
      </c>
      <c r="Y144" s="115" t="e">
        <f t="shared" ca="1" si="78"/>
        <v>#N/A</v>
      </c>
      <c r="Z144" s="115" t="e">
        <f ca="1">IF(Z141="",NA(),IF(OFFSET(Z141,0,$I$31*(-1))="",NA(),Z141-OFFSET(Z141,0,$I$31*(-1))+Z143))</f>
        <v>#N/A</v>
      </c>
      <c r="AA144" s="115" t="e">
        <f t="shared" ca="1" si="78"/>
        <v>#N/A</v>
      </c>
      <c r="AB144" s="115" t="e">
        <f t="shared" ca="1" si="78"/>
        <v>#N/A</v>
      </c>
      <c r="AC144" s="115" t="e">
        <f t="shared" ca="1" si="78"/>
        <v>#N/A</v>
      </c>
      <c r="AD144" s="115" t="e">
        <f t="shared" ca="1" si="78"/>
        <v>#N/A</v>
      </c>
      <c r="AE144" s="115" t="e">
        <f t="shared" ca="1" si="78"/>
        <v>#N/A</v>
      </c>
      <c r="AF144" s="115" t="e">
        <f t="shared" ca="1" si="78"/>
        <v>#N/A</v>
      </c>
      <c r="AG144" s="115" t="e">
        <f t="shared" ca="1" si="78"/>
        <v>#N/A</v>
      </c>
      <c r="AH144" s="115" t="e">
        <f t="shared" ca="1" si="78"/>
        <v>#N/A</v>
      </c>
      <c r="AI144" s="115" t="e">
        <f t="shared" ca="1" si="78"/>
        <v>#N/A</v>
      </c>
      <c r="AJ144" s="115" t="e">
        <f t="shared" ca="1" si="78"/>
        <v>#N/A</v>
      </c>
      <c r="AK144" s="115" t="e">
        <f t="shared" ca="1" si="78"/>
        <v>#N/A</v>
      </c>
      <c r="AL144" s="115" t="e">
        <f t="shared" ca="1" si="78"/>
        <v>#N/A</v>
      </c>
      <c r="AM144" s="115" t="e">
        <f t="shared" ca="1" si="78"/>
        <v>#N/A</v>
      </c>
      <c r="AN144" s="115" t="e">
        <f t="shared" ca="1" si="78"/>
        <v>#N/A</v>
      </c>
      <c r="AO144" s="115" t="e">
        <f t="shared" ca="1" si="78"/>
        <v>#N/A</v>
      </c>
      <c r="AP144" s="115" t="e">
        <f t="shared" ca="1" si="78"/>
        <v>#N/A</v>
      </c>
      <c r="AQ144" s="115" t="e">
        <f t="shared" ca="1" si="78"/>
        <v>#N/A</v>
      </c>
      <c r="AR144" s="115" t="e">
        <f t="shared" ca="1" si="78"/>
        <v>#N/A</v>
      </c>
      <c r="AS144" s="115" t="e">
        <f t="shared" ca="1" si="78"/>
        <v>#N/A</v>
      </c>
      <c r="AT144" s="115" t="e">
        <f t="shared" ca="1" si="78"/>
        <v>#N/A</v>
      </c>
      <c r="AU144" s="115" t="e">
        <f t="shared" ca="1" si="78"/>
        <v>#N/A</v>
      </c>
      <c r="AV144" s="115" t="e">
        <f t="shared" ca="1" si="78"/>
        <v>#N/A</v>
      </c>
      <c r="AW144" s="115" t="e">
        <f t="shared" ca="1" si="78"/>
        <v>#N/A</v>
      </c>
      <c r="AX144" s="115" t="e">
        <f t="shared" ca="1" si="78"/>
        <v>#N/A</v>
      </c>
      <c r="AY144" s="115" t="e">
        <f t="shared" ca="1" si="78"/>
        <v>#N/A</v>
      </c>
      <c r="AZ144" s="115" t="e">
        <f t="shared" ca="1" si="78"/>
        <v>#N/A</v>
      </c>
      <c r="BA144" s="115" t="e">
        <f t="shared" ca="1" si="78"/>
        <v>#N/A</v>
      </c>
      <c r="BB144" s="115" t="e">
        <f t="shared" ca="1" si="78"/>
        <v>#N/A</v>
      </c>
      <c r="BC144" s="115" t="e">
        <f t="shared" ca="1" si="78"/>
        <v>#N/A</v>
      </c>
      <c r="BD144" s="115" t="e">
        <f t="shared" ca="1" si="78"/>
        <v>#N/A</v>
      </c>
      <c r="BE144" s="115" t="e">
        <f t="shared" ca="1" si="78"/>
        <v>#N/A</v>
      </c>
    </row>
    <row r="145" spans="1:57" ht="18" hidden="1" customHeight="1">
      <c r="A145" s="478"/>
      <c r="B145" s="307" t="s">
        <v>188</v>
      </c>
      <c r="C145" s="308"/>
      <c r="D145" s="193"/>
      <c r="E145" s="193"/>
      <c r="F145" s="193"/>
      <c r="G145" s="193"/>
      <c r="H145" s="193"/>
      <c r="I145" s="193"/>
      <c r="J145" s="193"/>
      <c r="K145" s="193"/>
      <c r="L145" s="193"/>
      <c r="M145" s="193"/>
      <c r="N145" s="193"/>
      <c r="O145" s="193"/>
      <c r="P145" s="193"/>
      <c r="Q145" s="193"/>
      <c r="R145" s="193"/>
      <c r="S145" s="115" t="e">
        <f t="shared" ref="S145:BE145" ca="1" si="79">IF(S143="",NA(),IF(S142="",NA(),IF(OFFSET(S142,0,$I$31*(-1))="",NA(),S142-OFFSET(S142,0,$I$31*(-1))+S143)))</f>
        <v>#N/A</v>
      </c>
      <c r="T145" s="209" t="e">
        <f t="shared" ca="1" si="79"/>
        <v>#N/A</v>
      </c>
      <c r="U145" s="115" t="e">
        <f t="shared" ca="1" si="79"/>
        <v>#N/A</v>
      </c>
      <c r="V145" s="115" t="e">
        <f t="shared" ca="1" si="79"/>
        <v>#N/A</v>
      </c>
      <c r="W145" s="115" t="e">
        <f ca="1">IF(W143="",NA(),IF(W142="",NA(),IF(OFFSET(W142,0,$I$31*(-1))="",NA(),W142-OFFSET(W142,0,$I$31*(-1))+W143)))</f>
        <v>#N/A</v>
      </c>
      <c r="X145" s="115" t="e">
        <f t="shared" ca="1" si="79"/>
        <v>#N/A</v>
      </c>
      <c r="Y145" s="115" t="e">
        <f t="shared" ca="1" si="79"/>
        <v>#N/A</v>
      </c>
      <c r="Z145" s="115" t="e">
        <f t="shared" ca="1" si="79"/>
        <v>#N/A</v>
      </c>
      <c r="AA145" s="115" t="e">
        <f ca="1">IF(AA143="",NA(),IF(AA142="",NA(),IF(OFFSET(AA142,0,$I$31*(-1))="",NA(),AA142-OFFSET(AA142,0,$I$31*(-1))+AA143)))</f>
        <v>#N/A</v>
      </c>
      <c r="AB145" s="115" t="e">
        <f t="shared" ca="1" si="79"/>
        <v>#N/A</v>
      </c>
      <c r="AC145" s="115" t="e">
        <f t="shared" ca="1" si="79"/>
        <v>#N/A</v>
      </c>
      <c r="AD145" s="115" t="e">
        <f t="shared" ca="1" si="79"/>
        <v>#N/A</v>
      </c>
      <c r="AE145" s="115" t="e">
        <f t="shared" ca="1" si="79"/>
        <v>#N/A</v>
      </c>
      <c r="AF145" s="115" t="e">
        <f t="shared" ca="1" si="79"/>
        <v>#N/A</v>
      </c>
      <c r="AG145" s="115" t="e">
        <f t="shared" ca="1" si="79"/>
        <v>#N/A</v>
      </c>
      <c r="AH145" s="115" t="e">
        <f t="shared" ca="1" si="79"/>
        <v>#N/A</v>
      </c>
      <c r="AI145" s="115" t="e">
        <f t="shared" ca="1" si="79"/>
        <v>#N/A</v>
      </c>
      <c r="AJ145" s="115" t="e">
        <f t="shared" ca="1" si="79"/>
        <v>#N/A</v>
      </c>
      <c r="AK145" s="115" t="e">
        <f t="shared" ca="1" si="79"/>
        <v>#N/A</v>
      </c>
      <c r="AL145" s="115" t="e">
        <f t="shared" ca="1" si="79"/>
        <v>#N/A</v>
      </c>
      <c r="AM145" s="115" t="e">
        <f t="shared" ca="1" si="79"/>
        <v>#N/A</v>
      </c>
      <c r="AN145" s="115" t="e">
        <f t="shared" ca="1" si="79"/>
        <v>#N/A</v>
      </c>
      <c r="AO145" s="115" t="e">
        <f t="shared" ca="1" si="79"/>
        <v>#N/A</v>
      </c>
      <c r="AP145" s="115" t="e">
        <f t="shared" ca="1" si="79"/>
        <v>#N/A</v>
      </c>
      <c r="AQ145" s="115" t="e">
        <f t="shared" ca="1" si="79"/>
        <v>#N/A</v>
      </c>
      <c r="AR145" s="115" t="e">
        <f t="shared" ca="1" si="79"/>
        <v>#N/A</v>
      </c>
      <c r="AS145" s="115" t="e">
        <f t="shared" ca="1" si="79"/>
        <v>#N/A</v>
      </c>
      <c r="AT145" s="115" t="e">
        <f t="shared" ca="1" si="79"/>
        <v>#N/A</v>
      </c>
      <c r="AU145" s="115" t="e">
        <f t="shared" ca="1" si="79"/>
        <v>#N/A</v>
      </c>
      <c r="AV145" s="115" t="e">
        <f t="shared" ca="1" si="79"/>
        <v>#N/A</v>
      </c>
      <c r="AW145" s="115" t="e">
        <f t="shared" ca="1" si="79"/>
        <v>#N/A</v>
      </c>
      <c r="AX145" s="115" t="e">
        <f t="shared" ca="1" si="79"/>
        <v>#N/A</v>
      </c>
      <c r="AY145" s="115" t="e">
        <f t="shared" ca="1" si="79"/>
        <v>#N/A</v>
      </c>
      <c r="AZ145" s="115" t="e">
        <f t="shared" ca="1" si="79"/>
        <v>#N/A</v>
      </c>
      <c r="BA145" s="115" t="e">
        <f t="shared" ca="1" si="79"/>
        <v>#N/A</v>
      </c>
      <c r="BB145" s="115" t="e">
        <f t="shared" ca="1" si="79"/>
        <v>#N/A</v>
      </c>
      <c r="BC145" s="115" t="e">
        <f t="shared" ca="1" si="79"/>
        <v>#N/A</v>
      </c>
      <c r="BD145" s="115" t="e">
        <f t="shared" ca="1" si="79"/>
        <v>#N/A</v>
      </c>
      <c r="BE145" s="115" t="e">
        <f t="shared" ca="1" si="79"/>
        <v>#N/A</v>
      </c>
    </row>
    <row r="146" spans="1:57" ht="18" hidden="1" customHeight="1">
      <c r="A146" s="478"/>
      <c r="B146" s="479" t="s">
        <v>145</v>
      </c>
      <c r="C146" s="480"/>
      <c r="D146" s="193"/>
      <c r="E146" s="193"/>
      <c r="F146" s="193"/>
      <c r="G146" s="193"/>
      <c r="H146" s="193"/>
      <c r="I146" s="193"/>
      <c r="J146" s="193"/>
      <c r="K146" s="193"/>
      <c r="L146" s="193"/>
      <c r="M146" s="193"/>
      <c r="N146" s="193"/>
      <c r="O146" s="193"/>
      <c r="P146" s="193"/>
      <c r="Q146" s="193"/>
      <c r="R146" s="197"/>
      <c r="S146" s="115" t="e">
        <f t="shared" ref="S146:BE146" si="80">IF(S133="",NA(),IF(S3&lt;=$B$136,S133*$D$139/100,IF(S3&lt;=$C$136,S133*$E$139/100,IF(S3&lt;=$D$136,S133*$F$139/100,IF(S3&lt;=$E$136,S133*$G$139/100,IF(S3&lt;=$F$136,S133*$H$139/100,IF(S3&lt;=$G$136,S133*$I$139/100,IF(S3&lt;=$H$136,S133*$J$139/100,IF(S3&lt;=$I$136,S133*$K$139/100,IF(S3&lt;=$J$136,S133*$L$139/100,IF(S3&lt;=$K$136,S133*$M$139/100,S133*$N$139/100)))))))))))</f>
        <v>#N/A</v>
      </c>
      <c r="T146" s="217" t="e">
        <f t="shared" si="80"/>
        <v>#N/A</v>
      </c>
      <c r="U146" s="115" t="e">
        <f t="shared" si="80"/>
        <v>#N/A</v>
      </c>
      <c r="V146" s="115" t="e">
        <f t="shared" si="80"/>
        <v>#N/A</v>
      </c>
      <c r="W146" s="115" t="e">
        <f t="shared" si="80"/>
        <v>#N/A</v>
      </c>
      <c r="X146" s="115" t="e">
        <f t="shared" si="80"/>
        <v>#N/A</v>
      </c>
      <c r="Y146" s="115" t="e">
        <f t="shared" si="80"/>
        <v>#N/A</v>
      </c>
      <c r="Z146" s="115" t="e">
        <f t="shared" si="80"/>
        <v>#N/A</v>
      </c>
      <c r="AA146" s="115" t="e">
        <f t="shared" si="80"/>
        <v>#N/A</v>
      </c>
      <c r="AB146" s="115" t="e">
        <f t="shared" si="80"/>
        <v>#N/A</v>
      </c>
      <c r="AC146" s="115" t="e">
        <f t="shared" si="80"/>
        <v>#N/A</v>
      </c>
      <c r="AD146" s="115" t="e">
        <f t="shared" si="80"/>
        <v>#N/A</v>
      </c>
      <c r="AE146" s="115" t="e">
        <f t="shared" si="80"/>
        <v>#N/A</v>
      </c>
      <c r="AF146" s="115" t="e">
        <f t="shared" si="80"/>
        <v>#N/A</v>
      </c>
      <c r="AG146" s="115" t="e">
        <f t="shared" si="80"/>
        <v>#N/A</v>
      </c>
      <c r="AH146" s="115" t="e">
        <f t="shared" si="80"/>
        <v>#N/A</v>
      </c>
      <c r="AI146" s="115" t="e">
        <f t="shared" si="80"/>
        <v>#N/A</v>
      </c>
      <c r="AJ146" s="115" t="e">
        <f t="shared" si="80"/>
        <v>#N/A</v>
      </c>
      <c r="AK146" s="115" t="e">
        <f t="shared" si="80"/>
        <v>#N/A</v>
      </c>
      <c r="AL146" s="115" t="e">
        <f t="shared" si="80"/>
        <v>#N/A</v>
      </c>
      <c r="AM146" s="115" t="e">
        <f t="shared" si="80"/>
        <v>#N/A</v>
      </c>
      <c r="AN146" s="115" t="e">
        <f t="shared" si="80"/>
        <v>#N/A</v>
      </c>
      <c r="AO146" s="115" t="e">
        <f t="shared" si="80"/>
        <v>#N/A</v>
      </c>
      <c r="AP146" s="115" t="e">
        <f t="shared" si="80"/>
        <v>#N/A</v>
      </c>
      <c r="AQ146" s="115" t="e">
        <f t="shared" si="80"/>
        <v>#N/A</v>
      </c>
      <c r="AR146" s="115" t="e">
        <f t="shared" si="80"/>
        <v>#N/A</v>
      </c>
      <c r="AS146" s="115" t="e">
        <f t="shared" si="80"/>
        <v>#N/A</v>
      </c>
      <c r="AT146" s="115" t="e">
        <f t="shared" si="80"/>
        <v>#N/A</v>
      </c>
      <c r="AU146" s="115" t="e">
        <f t="shared" si="80"/>
        <v>#N/A</v>
      </c>
      <c r="AV146" s="115" t="e">
        <f t="shared" si="80"/>
        <v>#N/A</v>
      </c>
      <c r="AW146" s="115" t="e">
        <f t="shared" si="80"/>
        <v>#N/A</v>
      </c>
      <c r="AX146" s="115" t="e">
        <f t="shared" si="80"/>
        <v>#N/A</v>
      </c>
      <c r="AY146" s="115" t="e">
        <f t="shared" si="80"/>
        <v>#N/A</v>
      </c>
      <c r="AZ146" s="115" t="e">
        <f t="shared" si="80"/>
        <v>#N/A</v>
      </c>
      <c r="BA146" s="115" t="e">
        <f t="shared" si="80"/>
        <v>#N/A</v>
      </c>
      <c r="BB146" s="210" t="e">
        <f t="shared" si="80"/>
        <v>#N/A</v>
      </c>
      <c r="BC146" s="116" t="e">
        <f t="shared" si="80"/>
        <v>#N/A</v>
      </c>
      <c r="BD146" s="116" t="e">
        <f t="shared" si="80"/>
        <v>#N/A</v>
      </c>
      <c r="BE146" s="116" t="e">
        <f t="shared" si="80"/>
        <v>#N/A</v>
      </c>
    </row>
    <row r="147" spans="1:57" ht="18" hidden="1" customHeight="1">
      <c r="A147" s="478" t="s">
        <v>194</v>
      </c>
      <c r="B147" s="307" t="s">
        <v>186</v>
      </c>
      <c r="C147" s="307"/>
      <c r="D147" s="193"/>
      <c r="E147" s="193"/>
      <c r="F147" s="193"/>
      <c r="G147" s="193"/>
      <c r="H147" s="193"/>
      <c r="I147" s="193"/>
      <c r="J147" s="193"/>
      <c r="K147" s="193"/>
      <c r="L147" s="193"/>
      <c r="M147" s="193"/>
      <c r="N147" s="193"/>
      <c r="O147" s="193"/>
      <c r="P147" s="193"/>
      <c r="Q147" s="193"/>
      <c r="R147" s="197"/>
      <c r="S147" s="115" t="e">
        <f t="shared" ref="S147:BE147" ca="1" si="81">IF(S16="",NA(),IF(OFFSET(S16,0,$I$31*(-1))="",NA(),(S16-OFFSET(S16,0,$I$31*(-1)))*1.5848))</f>
        <v>#N/A</v>
      </c>
      <c r="T147" s="115" t="e">
        <f t="shared" ca="1" si="81"/>
        <v>#N/A</v>
      </c>
      <c r="U147" s="115" t="e">
        <f t="shared" ca="1" si="81"/>
        <v>#N/A</v>
      </c>
      <c r="V147" s="115" t="e">
        <f t="shared" ca="1" si="81"/>
        <v>#N/A</v>
      </c>
      <c r="W147" s="115" t="e">
        <f t="shared" ca="1" si="81"/>
        <v>#N/A</v>
      </c>
      <c r="X147" s="115" t="e">
        <f t="shared" ca="1" si="81"/>
        <v>#N/A</v>
      </c>
      <c r="Y147" s="115" t="e">
        <f t="shared" ca="1" si="81"/>
        <v>#N/A</v>
      </c>
      <c r="Z147" s="115" t="e">
        <f t="shared" ca="1" si="81"/>
        <v>#N/A</v>
      </c>
      <c r="AA147" s="115" t="e">
        <f t="shared" ca="1" si="81"/>
        <v>#N/A</v>
      </c>
      <c r="AB147" s="115" t="e">
        <f t="shared" ca="1" si="81"/>
        <v>#N/A</v>
      </c>
      <c r="AC147" s="115" t="e">
        <f t="shared" ca="1" si="81"/>
        <v>#N/A</v>
      </c>
      <c r="AD147" s="115" t="e">
        <f t="shared" ca="1" si="81"/>
        <v>#N/A</v>
      </c>
      <c r="AE147" s="115" t="e">
        <f t="shared" ca="1" si="81"/>
        <v>#N/A</v>
      </c>
      <c r="AF147" s="115" t="e">
        <f t="shared" ca="1" si="81"/>
        <v>#N/A</v>
      </c>
      <c r="AG147" s="115" t="e">
        <f t="shared" ca="1" si="81"/>
        <v>#N/A</v>
      </c>
      <c r="AH147" s="115" t="e">
        <f t="shared" ca="1" si="81"/>
        <v>#N/A</v>
      </c>
      <c r="AI147" s="115" t="e">
        <f t="shared" ca="1" si="81"/>
        <v>#N/A</v>
      </c>
      <c r="AJ147" s="115" t="e">
        <f t="shared" ca="1" si="81"/>
        <v>#N/A</v>
      </c>
      <c r="AK147" s="115" t="e">
        <f t="shared" ca="1" si="81"/>
        <v>#N/A</v>
      </c>
      <c r="AL147" s="115" t="e">
        <f t="shared" ca="1" si="81"/>
        <v>#N/A</v>
      </c>
      <c r="AM147" s="115" t="e">
        <f t="shared" ca="1" si="81"/>
        <v>#N/A</v>
      </c>
      <c r="AN147" s="115" t="e">
        <f t="shared" ca="1" si="81"/>
        <v>#N/A</v>
      </c>
      <c r="AO147" s="115" t="e">
        <f t="shared" ca="1" si="81"/>
        <v>#N/A</v>
      </c>
      <c r="AP147" s="115" t="e">
        <f t="shared" ca="1" si="81"/>
        <v>#N/A</v>
      </c>
      <c r="AQ147" s="115" t="e">
        <f t="shared" ca="1" si="81"/>
        <v>#N/A</v>
      </c>
      <c r="AR147" s="115" t="e">
        <f t="shared" ca="1" si="81"/>
        <v>#N/A</v>
      </c>
      <c r="AS147" s="115" t="e">
        <f t="shared" ca="1" si="81"/>
        <v>#N/A</v>
      </c>
      <c r="AT147" s="115" t="e">
        <f t="shared" ca="1" si="81"/>
        <v>#N/A</v>
      </c>
      <c r="AU147" s="115" t="e">
        <f t="shared" ca="1" si="81"/>
        <v>#N/A</v>
      </c>
      <c r="AV147" s="115" t="e">
        <f t="shared" ca="1" si="81"/>
        <v>#N/A</v>
      </c>
      <c r="AW147" s="115" t="e">
        <f t="shared" ca="1" si="81"/>
        <v>#N/A</v>
      </c>
      <c r="AX147" s="115" t="e">
        <f t="shared" ca="1" si="81"/>
        <v>#N/A</v>
      </c>
      <c r="AY147" s="115" t="e">
        <f t="shared" ca="1" si="81"/>
        <v>#N/A</v>
      </c>
      <c r="AZ147" s="115" t="e">
        <f t="shared" ca="1" si="81"/>
        <v>#N/A</v>
      </c>
      <c r="BA147" s="115" t="e">
        <f t="shared" ca="1" si="81"/>
        <v>#N/A</v>
      </c>
      <c r="BB147" s="115" t="e">
        <f t="shared" ca="1" si="81"/>
        <v>#N/A</v>
      </c>
      <c r="BC147" s="115" t="e">
        <f t="shared" ca="1" si="81"/>
        <v>#N/A</v>
      </c>
      <c r="BD147" s="115" t="e">
        <f t="shared" ca="1" si="81"/>
        <v>#N/A</v>
      </c>
      <c r="BE147" s="115" t="e">
        <f t="shared" ca="1" si="81"/>
        <v>#N/A</v>
      </c>
    </row>
    <row r="148" spans="1:57" ht="18" hidden="1" customHeight="1">
      <c r="A148" s="478"/>
      <c r="B148" s="307" t="s">
        <v>187</v>
      </c>
      <c r="C148" s="307"/>
      <c r="D148" s="193"/>
      <c r="E148" s="193"/>
      <c r="F148" s="193"/>
      <c r="G148" s="193"/>
      <c r="H148" s="193"/>
      <c r="I148" s="193"/>
      <c r="J148" s="193"/>
      <c r="K148" s="193"/>
      <c r="L148" s="193"/>
      <c r="M148" s="193"/>
      <c r="N148" s="193"/>
      <c r="O148" s="193"/>
      <c r="P148" s="193"/>
      <c r="Q148" s="193"/>
      <c r="R148" s="197"/>
      <c r="S148" s="115" t="e">
        <f t="shared" ref="S148:BE148" ca="1" si="82">IF(S131="",NA(),IF(OFFSET(S131,0,$I$31*(-1))="",NA(),S131-OFFSET(S131,0,$I$31*(-1))+S147))</f>
        <v>#N/A</v>
      </c>
      <c r="T148" s="115" t="e">
        <f t="shared" ca="1" si="82"/>
        <v>#N/A</v>
      </c>
      <c r="U148" s="115" t="e">
        <f ca="1">IF(U131="",NA(),IF(OFFSET(U131,0,$I$31*(-1))="",NA(),U131-OFFSET(U131,0,$I$31*(-1))+U147))</f>
        <v>#N/A</v>
      </c>
      <c r="V148" s="115" t="e">
        <f t="shared" ca="1" si="82"/>
        <v>#N/A</v>
      </c>
      <c r="W148" s="115" t="e">
        <f ca="1">IF(W131="",NA(),IF(OFFSET(W131,0,$I$31*(-1))="",NA(),W131-OFFSET(W131,0,$I$31*(-1))+W147))</f>
        <v>#N/A</v>
      </c>
      <c r="X148" s="115" t="e">
        <f t="shared" ca="1" si="82"/>
        <v>#N/A</v>
      </c>
      <c r="Y148" s="115" t="e">
        <f t="shared" ca="1" si="82"/>
        <v>#N/A</v>
      </c>
      <c r="Z148" s="115" t="e">
        <f t="shared" ca="1" si="82"/>
        <v>#N/A</v>
      </c>
      <c r="AA148" s="115" t="e">
        <f ca="1">IF(AA131="",NA(),IF(OFFSET(AA131,0,$I$31*(-1))="",NA(),AA131-OFFSET(AA131,0,$I$31*(-1))+AA147))</f>
        <v>#N/A</v>
      </c>
      <c r="AB148" s="115" t="e">
        <f t="shared" ca="1" si="82"/>
        <v>#N/A</v>
      </c>
      <c r="AC148" s="115" t="e">
        <f t="shared" ca="1" si="82"/>
        <v>#N/A</v>
      </c>
      <c r="AD148" s="115" t="e">
        <f t="shared" ca="1" si="82"/>
        <v>#N/A</v>
      </c>
      <c r="AE148" s="115" t="e">
        <f t="shared" ca="1" si="82"/>
        <v>#N/A</v>
      </c>
      <c r="AF148" s="115" t="e">
        <f t="shared" ca="1" si="82"/>
        <v>#N/A</v>
      </c>
      <c r="AG148" s="115" t="e">
        <f t="shared" ca="1" si="82"/>
        <v>#N/A</v>
      </c>
      <c r="AH148" s="115" t="e">
        <f t="shared" ca="1" si="82"/>
        <v>#N/A</v>
      </c>
      <c r="AI148" s="115" t="e">
        <f t="shared" ca="1" si="82"/>
        <v>#N/A</v>
      </c>
      <c r="AJ148" s="115" t="e">
        <f t="shared" ca="1" si="82"/>
        <v>#N/A</v>
      </c>
      <c r="AK148" s="115" t="e">
        <f t="shared" ca="1" si="82"/>
        <v>#N/A</v>
      </c>
      <c r="AL148" s="115" t="e">
        <f t="shared" ca="1" si="82"/>
        <v>#N/A</v>
      </c>
      <c r="AM148" s="115" t="e">
        <f t="shared" ca="1" si="82"/>
        <v>#N/A</v>
      </c>
      <c r="AN148" s="115" t="e">
        <f t="shared" ca="1" si="82"/>
        <v>#N/A</v>
      </c>
      <c r="AO148" s="115" t="e">
        <f t="shared" ca="1" si="82"/>
        <v>#N/A</v>
      </c>
      <c r="AP148" s="115" t="e">
        <f t="shared" ca="1" si="82"/>
        <v>#N/A</v>
      </c>
      <c r="AQ148" s="115" t="e">
        <f t="shared" ca="1" si="82"/>
        <v>#N/A</v>
      </c>
      <c r="AR148" s="115" t="e">
        <f t="shared" ca="1" si="82"/>
        <v>#N/A</v>
      </c>
      <c r="AS148" s="115" t="e">
        <f t="shared" ca="1" si="82"/>
        <v>#N/A</v>
      </c>
      <c r="AT148" s="115" t="e">
        <f t="shared" ca="1" si="82"/>
        <v>#N/A</v>
      </c>
      <c r="AU148" s="115" t="e">
        <f t="shared" ca="1" si="82"/>
        <v>#N/A</v>
      </c>
      <c r="AV148" s="115" t="e">
        <f t="shared" ca="1" si="82"/>
        <v>#N/A</v>
      </c>
      <c r="AW148" s="115" t="e">
        <f t="shared" ca="1" si="82"/>
        <v>#N/A</v>
      </c>
      <c r="AX148" s="115" t="e">
        <f t="shared" ca="1" si="82"/>
        <v>#N/A</v>
      </c>
      <c r="AY148" s="115" t="e">
        <f t="shared" ca="1" si="82"/>
        <v>#N/A</v>
      </c>
      <c r="AZ148" s="115" t="e">
        <f t="shared" ca="1" si="82"/>
        <v>#N/A</v>
      </c>
      <c r="BA148" s="115" t="e">
        <f t="shared" ca="1" si="82"/>
        <v>#N/A</v>
      </c>
      <c r="BB148" s="115" t="e">
        <f t="shared" ca="1" si="82"/>
        <v>#N/A</v>
      </c>
      <c r="BC148" s="115" t="e">
        <f t="shared" ca="1" si="82"/>
        <v>#N/A</v>
      </c>
      <c r="BD148" s="115" t="e">
        <f t="shared" ca="1" si="82"/>
        <v>#N/A</v>
      </c>
      <c r="BE148" s="115" t="e">
        <f t="shared" ca="1" si="82"/>
        <v>#N/A</v>
      </c>
    </row>
    <row r="149" spans="1:57" ht="18" hidden="1" customHeight="1">
      <c r="A149" s="478"/>
      <c r="B149" s="307" t="s">
        <v>188</v>
      </c>
      <c r="C149" s="307"/>
      <c r="D149" s="193"/>
      <c r="E149" s="193"/>
      <c r="F149" s="193"/>
      <c r="G149" s="193"/>
      <c r="H149" s="193"/>
      <c r="I149" s="193"/>
      <c r="J149" s="193"/>
      <c r="K149" s="193"/>
      <c r="L149" s="193"/>
      <c r="M149" s="193"/>
      <c r="N149" s="193"/>
      <c r="O149" s="193"/>
      <c r="P149" s="193"/>
      <c r="Q149" s="193"/>
      <c r="R149" s="197"/>
      <c r="S149" s="115" t="e">
        <f t="shared" ref="S149:BE149" ca="1" si="83">IF(S147="",NA(),IF(S19="",NA(),IF(OFFSET(S19,0,$I$31*(-1))="",NA(),S19-OFFSET(S19,0,$I$31*(-1))+S147)))</f>
        <v>#N/A</v>
      </c>
      <c r="T149" s="115" t="e">
        <f t="shared" ca="1" si="83"/>
        <v>#N/A</v>
      </c>
      <c r="U149" s="115" t="e">
        <f t="shared" ca="1" si="83"/>
        <v>#N/A</v>
      </c>
      <c r="V149" s="115" t="e">
        <f t="shared" ca="1" si="83"/>
        <v>#N/A</v>
      </c>
      <c r="W149" s="115" t="e">
        <f t="shared" ca="1" si="83"/>
        <v>#N/A</v>
      </c>
      <c r="X149" s="115" t="e">
        <f t="shared" ca="1" si="83"/>
        <v>#N/A</v>
      </c>
      <c r="Y149" s="115" t="e">
        <f t="shared" ca="1" si="83"/>
        <v>#N/A</v>
      </c>
      <c r="Z149" s="115" t="e">
        <f t="shared" ca="1" si="83"/>
        <v>#N/A</v>
      </c>
      <c r="AA149" s="115" t="e">
        <f t="shared" ca="1" si="83"/>
        <v>#N/A</v>
      </c>
      <c r="AB149" s="115" t="e">
        <f t="shared" ca="1" si="83"/>
        <v>#N/A</v>
      </c>
      <c r="AC149" s="115" t="e">
        <f t="shared" ca="1" si="83"/>
        <v>#N/A</v>
      </c>
      <c r="AD149" s="115" t="e">
        <f t="shared" ca="1" si="83"/>
        <v>#N/A</v>
      </c>
      <c r="AE149" s="115" t="e">
        <f t="shared" ca="1" si="83"/>
        <v>#N/A</v>
      </c>
      <c r="AF149" s="115" t="e">
        <f t="shared" ca="1" si="83"/>
        <v>#N/A</v>
      </c>
      <c r="AG149" s="115" t="e">
        <f t="shared" ca="1" si="83"/>
        <v>#N/A</v>
      </c>
      <c r="AH149" s="115" t="e">
        <f t="shared" ca="1" si="83"/>
        <v>#N/A</v>
      </c>
      <c r="AI149" s="115" t="e">
        <f t="shared" ca="1" si="83"/>
        <v>#N/A</v>
      </c>
      <c r="AJ149" s="115" t="e">
        <f t="shared" ca="1" si="83"/>
        <v>#N/A</v>
      </c>
      <c r="AK149" s="115" t="e">
        <f t="shared" ca="1" si="83"/>
        <v>#N/A</v>
      </c>
      <c r="AL149" s="115" t="e">
        <f t="shared" ca="1" si="83"/>
        <v>#N/A</v>
      </c>
      <c r="AM149" s="115" t="e">
        <f t="shared" ca="1" si="83"/>
        <v>#N/A</v>
      </c>
      <c r="AN149" s="115" t="e">
        <f t="shared" ca="1" si="83"/>
        <v>#N/A</v>
      </c>
      <c r="AO149" s="115" t="e">
        <f t="shared" ca="1" si="83"/>
        <v>#N/A</v>
      </c>
      <c r="AP149" s="115" t="e">
        <f t="shared" ca="1" si="83"/>
        <v>#N/A</v>
      </c>
      <c r="AQ149" s="115" t="e">
        <f t="shared" ca="1" si="83"/>
        <v>#N/A</v>
      </c>
      <c r="AR149" s="115" t="e">
        <f t="shared" ca="1" si="83"/>
        <v>#N/A</v>
      </c>
      <c r="AS149" s="115" t="e">
        <f t="shared" ca="1" si="83"/>
        <v>#N/A</v>
      </c>
      <c r="AT149" s="115" t="e">
        <f t="shared" ca="1" si="83"/>
        <v>#N/A</v>
      </c>
      <c r="AU149" s="115" t="e">
        <f t="shared" ca="1" si="83"/>
        <v>#N/A</v>
      </c>
      <c r="AV149" s="115" t="e">
        <f t="shared" ca="1" si="83"/>
        <v>#N/A</v>
      </c>
      <c r="AW149" s="115" t="e">
        <f t="shared" ca="1" si="83"/>
        <v>#N/A</v>
      </c>
      <c r="AX149" s="115" t="e">
        <f t="shared" ca="1" si="83"/>
        <v>#N/A</v>
      </c>
      <c r="AY149" s="115" t="e">
        <f t="shared" ca="1" si="83"/>
        <v>#N/A</v>
      </c>
      <c r="AZ149" s="115" t="e">
        <f t="shared" ca="1" si="83"/>
        <v>#N/A</v>
      </c>
      <c r="BA149" s="115" t="e">
        <f t="shared" ca="1" si="83"/>
        <v>#N/A</v>
      </c>
      <c r="BB149" s="115" t="e">
        <f t="shared" ca="1" si="83"/>
        <v>#N/A</v>
      </c>
      <c r="BC149" s="115" t="e">
        <f t="shared" ca="1" si="83"/>
        <v>#N/A</v>
      </c>
      <c r="BD149" s="115" t="e">
        <f t="shared" ca="1" si="83"/>
        <v>#N/A</v>
      </c>
      <c r="BE149" s="115" t="e">
        <f t="shared" ca="1" si="83"/>
        <v>#N/A</v>
      </c>
    </row>
    <row r="150" spans="1:57" ht="18" hidden="1" customHeight="1">
      <c r="A150" s="135"/>
      <c r="B150" s="102"/>
      <c r="C150" s="102"/>
      <c r="D150" s="102"/>
      <c r="E150" s="102"/>
      <c r="F150" s="102"/>
      <c r="G150" s="102"/>
      <c r="H150" s="102"/>
      <c r="I150" s="102"/>
      <c r="J150" s="102"/>
      <c r="K150" s="102"/>
      <c r="L150" s="102"/>
      <c r="M150" s="102"/>
      <c r="N150" s="102"/>
      <c r="O150" s="102"/>
      <c r="P150" s="102"/>
      <c r="Q150" s="102"/>
      <c r="R150" s="5"/>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131"/>
      <c r="BC150" s="131"/>
      <c r="BD150" s="131"/>
      <c r="BE150" s="131"/>
    </row>
    <row r="151" spans="1:57" ht="18" hidden="1" customHeight="1">
      <c r="A151" s="136" t="s">
        <v>202</v>
      </c>
      <c r="B151" s="102"/>
      <c r="C151" s="102"/>
      <c r="D151" s="102"/>
      <c r="E151" s="102"/>
      <c r="F151" s="102"/>
      <c r="G151" s="102"/>
      <c r="H151" s="102"/>
      <c r="I151" s="102"/>
      <c r="J151" s="102" t="s">
        <v>205</v>
      </c>
      <c r="K151" s="102"/>
      <c r="L151" s="102"/>
      <c r="M151" s="102"/>
      <c r="N151" s="102"/>
      <c r="O151" s="102"/>
      <c r="P151" s="102"/>
      <c r="Q151" s="102"/>
      <c r="R151" s="5"/>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131"/>
      <c r="BC151" s="131"/>
      <c r="BD151" s="131"/>
      <c r="BE151" s="131"/>
    </row>
    <row r="152" spans="1:57" ht="18" hidden="1" customHeight="1">
      <c r="A152" s="136"/>
      <c r="B152" s="136" t="s">
        <v>203</v>
      </c>
      <c r="C152" s="102"/>
      <c r="D152" s="102"/>
      <c r="E152" s="102"/>
      <c r="F152" s="102"/>
      <c r="G152" s="102"/>
      <c r="H152" s="137">
        <f t="array" ref="H152">MIN(IF(ISNUMBER(S15:BE15),S15:BE15))</f>
        <v>0</v>
      </c>
      <c r="I152" s="102"/>
      <c r="J152" s="102"/>
      <c r="K152" s="102"/>
      <c r="L152" s="102"/>
      <c r="M152" s="102"/>
      <c r="N152" s="102"/>
      <c r="O152" s="102"/>
      <c r="P152" s="102"/>
      <c r="Q152" s="102"/>
      <c r="R152" s="5"/>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131"/>
      <c r="BC152" s="131"/>
      <c r="BD152" s="131"/>
      <c r="BE152" s="131"/>
    </row>
    <row r="153" spans="1:57" ht="19.350000000000001" hidden="1" customHeight="1">
      <c r="B153" s="138" t="s">
        <v>204</v>
      </c>
      <c r="H153" s="139" t="e">
        <f t="array" ref="H153">INDEX(S15:BE16,2,MATCH(MIN(IF(ISNUMBER(S15:BE15),S15:BE15)),S15:BE15,0))</f>
        <v>#N/A</v>
      </c>
    </row>
    <row r="154" spans="1:57" ht="19.350000000000001" hidden="1" customHeight="1">
      <c r="B154" s="138"/>
      <c r="H154" s="139"/>
    </row>
    <row r="155" spans="1:57" ht="19.350000000000001" hidden="1" customHeight="1">
      <c r="A155" t="s">
        <v>210</v>
      </c>
      <c r="B155" s="138"/>
      <c r="H155" s="139"/>
    </row>
    <row r="156" spans="1:57" ht="19.350000000000001" hidden="1" customHeight="1">
      <c r="A156" s="481" t="s">
        <v>206</v>
      </c>
      <c r="B156" s="481"/>
      <c r="C156" s="481"/>
      <c r="D156" s="481"/>
      <c r="E156" s="481"/>
      <c r="F156" s="482">
        <f t="array" ref="F156">MAX(IF(ISNUMBER(S14:BE14),S14:BE14))</f>
        <v>0</v>
      </c>
      <c r="G156" s="482"/>
      <c r="H156" s="482"/>
      <c r="I156" s="482"/>
      <c r="J156" s="482"/>
    </row>
    <row r="157" spans="1:57" ht="19.350000000000001" hidden="1" customHeight="1">
      <c r="A157" s="481" t="s">
        <v>191</v>
      </c>
      <c r="B157" s="481"/>
      <c r="C157" s="481"/>
      <c r="D157" s="481"/>
      <c r="E157" s="481"/>
      <c r="F157" s="142" t="e">
        <f t="array" ref="F157">INDEX(S3:BE14,1,MATCH(MAX(IF(ISNUMBER(S14:BE14),S14:BE14)),S14:BE14,0))</f>
        <v>#N/A</v>
      </c>
      <c r="G157" s="143"/>
      <c r="H157" s="143"/>
      <c r="I157" s="143"/>
      <c r="J157" s="144"/>
    </row>
    <row r="158" spans="1:57" ht="19.350000000000001" hidden="1" customHeight="1">
      <c r="B158" s="138"/>
      <c r="H158" s="139"/>
    </row>
    <row r="159" spans="1:57" ht="19.350000000000001" hidden="1" customHeight="1">
      <c r="A159" s="481" t="s">
        <v>209</v>
      </c>
      <c r="B159" s="481"/>
      <c r="C159" s="481"/>
      <c r="D159" s="481"/>
      <c r="E159" s="481"/>
      <c r="F159" s="482">
        <f t="array" ref="F159">MAX(IF(ISNUMBER(S130:BE130),S130:BE130))</f>
        <v>0</v>
      </c>
      <c r="G159" s="482"/>
      <c r="H159" s="482"/>
      <c r="I159" s="482"/>
      <c r="J159" s="482"/>
    </row>
    <row r="160" spans="1:57" ht="19.350000000000001" hidden="1" customHeight="1">
      <c r="A160" s="481" t="s">
        <v>150</v>
      </c>
      <c r="B160" s="481"/>
      <c r="C160" s="481"/>
      <c r="D160" s="481"/>
      <c r="E160" s="481"/>
      <c r="F160" s="142" t="e">
        <f t="array" ref="F160">INDEX(S3:BE130,1,MATCH(MAX(IF(ISNUMBER(S130:BE130),S130:BE130)),S130:BE130,0))</f>
        <v>#N/A</v>
      </c>
      <c r="G160" s="142"/>
      <c r="H160" s="142"/>
      <c r="I160" s="142"/>
      <c r="J160" s="142"/>
    </row>
    <row r="161" spans="1:57" ht="19.350000000000001" hidden="1" customHeight="1">
      <c r="A161" s="140"/>
      <c r="B161" s="140"/>
      <c r="C161" s="140"/>
      <c r="D161" s="140"/>
      <c r="E161" s="140"/>
      <c r="F161" s="141"/>
      <c r="G161" s="141"/>
      <c r="H161" s="141"/>
      <c r="I161" s="141"/>
      <c r="J161" s="141"/>
    </row>
    <row r="162" spans="1:57" ht="19.5" hidden="1" customHeight="1">
      <c r="A162" t="s">
        <v>129</v>
      </c>
    </row>
    <row r="163" spans="1:57" s="44" customFormat="1" ht="18" hidden="1" customHeight="1">
      <c r="A163" s="475" t="s">
        <v>124</v>
      </c>
      <c r="B163" s="476"/>
      <c r="C163" s="477"/>
      <c r="D163" s="52" t="e">
        <f t="shared" ref="D163:BE163" si="84">IF(D14="",IF(D15="",NA(),D15/-10),D14)</f>
        <v>#N/A</v>
      </c>
      <c r="E163" s="52" t="e">
        <f t="shared" si="84"/>
        <v>#N/A</v>
      </c>
      <c r="F163" s="52" t="e">
        <f t="shared" si="84"/>
        <v>#N/A</v>
      </c>
      <c r="G163" s="52" t="e">
        <f t="shared" si="84"/>
        <v>#N/A</v>
      </c>
      <c r="H163" s="52" t="e">
        <f t="shared" si="84"/>
        <v>#N/A</v>
      </c>
      <c r="I163" s="52" t="e">
        <f t="shared" si="84"/>
        <v>#N/A</v>
      </c>
      <c r="J163" s="52" t="e">
        <f t="shared" si="84"/>
        <v>#N/A</v>
      </c>
      <c r="K163" s="52" t="e">
        <f t="shared" si="84"/>
        <v>#N/A</v>
      </c>
      <c r="L163" s="52" t="e">
        <f t="shared" si="84"/>
        <v>#N/A</v>
      </c>
      <c r="M163" s="52" t="e">
        <f t="shared" si="84"/>
        <v>#N/A</v>
      </c>
      <c r="N163" s="52" t="e">
        <f t="shared" si="84"/>
        <v>#N/A</v>
      </c>
      <c r="O163" s="52" t="e">
        <f t="shared" si="84"/>
        <v>#N/A</v>
      </c>
      <c r="P163" s="52" t="e">
        <f t="shared" si="84"/>
        <v>#N/A</v>
      </c>
      <c r="Q163" s="52" t="e">
        <f t="shared" si="84"/>
        <v>#N/A</v>
      </c>
      <c r="R163" s="52" t="e">
        <f t="shared" si="84"/>
        <v>#N/A</v>
      </c>
      <c r="S163" s="52" t="e">
        <f t="shared" si="84"/>
        <v>#N/A</v>
      </c>
      <c r="T163" s="52" t="e">
        <f t="shared" si="84"/>
        <v>#N/A</v>
      </c>
      <c r="U163" s="52" t="e">
        <f t="shared" si="84"/>
        <v>#N/A</v>
      </c>
      <c r="V163" s="52" t="e">
        <f t="shared" si="84"/>
        <v>#N/A</v>
      </c>
      <c r="W163" s="52" t="e">
        <f t="shared" si="84"/>
        <v>#N/A</v>
      </c>
      <c r="X163" s="52" t="e">
        <f t="shared" si="84"/>
        <v>#N/A</v>
      </c>
      <c r="Y163" s="52" t="e">
        <f t="shared" si="84"/>
        <v>#N/A</v>
      </c>
      <c r="Z163" s="52" t="e">
        <f t="shared" si="84"/>
        <v>#N/A</v>
      </c>
      <c r="AA163" s="52" t="e">
        <f t="shared" si="84"/>
        <v>#N/A</v>
      </c>
      <c r="AB163" s="52" t="e">
        <f t="shared" si="84"/>
        <v>#N/A</v>
      </c>
      <c r="AC163" s="52" t="e">
        <f t="shared" si="84"/>
        <v>#N/A</v>
      </c>
      <c r="AD163" s="52" t="e">
        <f t="shared" si="84"/>
        <v>#N/A</v>
      </c>
      <c r="AE163" s="52" t="e">
        <f t="shared" si="84"/>
        <v>#N/A</v>
      </c>
      <c r="AF163" s="52" t="e">
        <f t="shared" si="84"/>
        <v>#N/A</v>
      </c>
      <c r="AG163" s="52" t="e">
        <f t="shared" si="84"/>
        <v>#N/A</v>
      </c>
      <c r="AH163" s="52" t="e">
        <f t="shared" si="84"/>
        <v>#N/A</v>
      </c>
      <c r="AI163" s="52" t="e">
        <f t="shared" si="84"/>
        <v>#N/A</v>
      </c>
      <c r="AJ163" s="52" t="e">
        <f t="shared" si="84"/>
        <v>#N/A</v>
      </c>
      <c r="AK163" s="52" t="e">
        <f t="shared" si="84"/>
        <v>#N/A</v>
      </c>
      <c r="AL163" s="52" t="e">
        <f t="shared" si="84"/>
        <v>#N/A</v>
      </c>
      <c r="AM163" s="52" t="e">
        <f t="shared" si="84"/>
        <v>#N/A</v>
      </c>
      <c r="AN163" s="52" t="e">
        <f t="shared" si="84"/>
        <v>#N/A</v>
      </c>
      <c r="AO163" s="52" t="e">
        <f t="shared" si="84"/>
        <v>#N/A</v>
      </c>
      <c r="AP163" s="52" t="e">
        <f t="shared" si="84"/>
        <v>#N/A</v>
      </c>
      <c r="AQ163" s="52" t="e">
        <f t="shared" si="84"/>
        <v>#N/A</v>
      </c>
      <c r="AR163" s="52" t="e">
        <f t="shared" si="84"/>
        <v>#N/A</v>
      </c>
      <c r="AS163" s="52" t="e">
        <f t="shared" si="84"/>
        <v>#N/A</v>
      </c>
      <c r="AT163" s="52" t="e">
        <f t="shared" si="84"/>
        <v>#N/A</v>
      </c>
      <c r="AU163" s="52" t="e">
        <f t="shared" si="84"/>
        <v>#N/A</v>
      </c>
      <c r="AV163" s="52" t="e">
        <f t="shared" si="84"/>
        <v>#N/A</v>
      </c>
      <c r="AW163" s="52" t="e">
        <f t="shared" si="84"/>
        <v>#N/A</v>
      </c>
      <c r="AX163" s="52" t="e">
        <f t="shared" si="84"/>
        <v>#N/A</v>
      </c>
      <c r="AY163" s="52" t="e">
        <f t="shared" si="84"/>
        <v>#N/A</v>
      </c>
      <c r="AZ163" s="52" t="e">
        <f t="shared" si="84"/>
        <v>#N/A</v>
      </c>
      <c r="BA163" s="52" t="e">
        <f t="shared" si="84"/>
        <v>#N/A</v>
      </c>
      <c r="BB163" s="52" t="e">
        <f t="shared" si="84"/>
        <v>#N/A</v>
      </c>
      <c r="BC163" s="52" t="e">
        <f t="shared" si="84"/>
        <v>#N/A</v>
      </c>
      <c r="BD163" s="52" t="e">
        <f t="shared" si="84"/>
        <v>#N/A</v>
      </c>
      <c r="BE163" s="52" t="e">
        <f t="shared" si="84"/>
        <v>#N/A</v>
      </c>
    </row>
    <row r="164" spans="1:57" s="3" customFormat="1" ht="40.35" hidden="1" customHeight="1">
      <c r="A164" s="327" t="s">
        <v>125</v>
      </c>
      <c r="B164" s="328"/>
      <c r="C164" s="194" t="s">
        <v>5</v>
      </c>
      <c r="D164" s="53"/>
      <c r="E164" s="34"/>
      <c r="F164" s="72"/>
      <c r="G164" s="73"/>
      <c r="H164" s="74"/>
      <c r="I164" s="75"/>
      <c r="J164" s="72"/>
      <c r="K164" s="72"/>
      <c r="L164" s="72"/>
      <c r="M164" s="73"/>
      <c r="N164" s="75"/>
      <c r="O164" s="72"/>
      <c r="P164" s="72"/>
      <c r="Q164" s="72"/>
      <c r="R164" s="54"/>
      <c r="S164" s="53" t="e">
        <f>#REF!/(-10)</f>
        <v>#REF!</v>
      </c>
      <c r="T164" s="53" t="e">
        <f>#REF!/(-10)</f>
        <v>#REF!</v>
      </c>
      <c r="U164" s="53" t="e">
        <f>#REF!/(-10)</f>
        <v>#REF!</v>
      </c>
      <c r="V164" s="53" t="e">
        <f>#REF!/(-10)</f>
        <v>#REF!</v>
      </c>
      <c r="W164" s="53" t="e">
        <f>#REF!/(-10)</f>
        <v>#REF!</v>
      </c>
      <c r="X164" s="53" t="e">
        <f>#REF!/(-10)</f>
        <v>#REF!</v>
      </c>
      <c r="Y164" s="53" t="e">
        <f>#REF!/(-10)</f>
        <v>#REF!</v>
      </c>
      <c r="Z164" s="53" t="e">
        <f>#REF!/(-10)</f>
        <v>#REF!</v>
      </c>
      <c r="AA164" s="53" t="e">
        <f>#REF!/(-10)</f>
        <v>#REF!</v>
      </c>
      <c r="AB164" s="53" t="e">
        <f>#REF!/(-10)</f>
        <v>#REF!</v>
      </c>
      <c r="AC164" s="53" t="e">
        <f>#REF!/(-10)</f>
        <v>#REF!</v>
      </c>
      <c r="AD164" s="53" t="e">
        <f>#REF!/(-10)</f>
        <v>#REF!</v>
      </c>
      <c r="AE164" s="53" t="e">
        <f>#REF!/(-10)</f>
        <v>#REF!</v>
      </c>
      <c r="AF164" s="53" t="e">
        <f>#REF!/(-10)</f>
        <v>#REF!</v>
      </c>
      <c r="AG164" s="53" t="e">
        <f>#REF!/(-10)</f>
        <v>#REF!</v>
      </c>
      <c r="AH164" s="53" t="e">
        <f>#REF!/(-10)</f>
        <v>#REF!</v>
      </c>
      <c r="AI164" s="53" t="e">
        <f>#REF!/(-10)</f>
        <v>#REF!</v>
      </c>
      <c r="AJ164" s="53" t="e">
        <f>#REF!/(-10)</f>
        <v>#REF!</v>
      </c>
      <c r="AK164" s="53" t="e">
        <f>#REF!/(-10)</f>
        <v>#REF!</v>
      </c>
      <c r="AL164" s="53" t="e">
        <f>#REF!/(-10)</f>
        <v>#REF!</v>
      </c>
      <c r="AM164" s="53" t="e">
        <f>#REF!/(-10)</f>
        <v>#REF!</v>
      </c>
      <c r="AN164" s="53" t="e">
        <f>#REF!/(-10)</f>
        <v>#REF!</v>
      </c>
      <c r="AO164" s="53" t="e">
        <f>#REF!/(-10)</f>
        <v>#REF!</v>
      </c>
      <c r="AP164" s="53" t="e">
        <f>#REF!/(-10)</f>
        <v>#REF!</v>
      </c>
      <c r="AQ164" s="53" t="e">
        <f>#REF!/(-10)</f>
        <v>#REF!</v>
      </c>
      <c r="AR164" s="53" t="e">
        <f>#REF!/(-10)</f>
        <v>#REF!</v>
      </c>
      <c r="AS164" s="53" t="e">
        <f>#REF!/(-10)</f>
        <v>#REF!</v>
      </c>
      <c r="AT164" s="53" t="e">
        <f>#REF!/(-10)</f>
        <v>#REF!</v>
      </c>
      <c r="AU164" s="53" t="e">
        <f>#REF!/(-10)</f>
        <v>#REF!</v>
      </c>
      <c r="AV164" s="53" t="e">
        <f>#REF!/(-10)</f>
        <v>#REF!</v>
      </c>
      <c r="AW164" s="53" t="e">
        <f>#REF!/(-10)</f>
        <v>#REF!</v>
      </c>
      <c r="AX164" s="53" t="e">
        <f>#REF!/(-10)</f>
        <v>#REF!</v>
      </c>
      <c r="AY164" s="53" t="e">
        <f>#REF!/(-10)</f>
        <v>#REF!</v>
      </c>
      <c r="AZ164" s="53" t="e">
        <f>#REF!/(-10)</f>
        <v>#REF!</v>
      </c>
      <c r="BA164" s="53" t="e">
        <f>#REF!/(-10)</f>
        <v>#REF!</v>
      </c>
      <c r="BB164" s="53" t="e">
        <f>#REF!/(-10)</f>
        <v>#REF!</v>
      </c>
      <c r="BC164" s="53" t="e">
        <f>#REF!/(-10)</f>
        <v>#REF!</v>
      </c>
      <c r="BD164" s="53" t="e">
        <f>#REF!/(-10)</f>
        <v>#REF!</v>
      </c>
      <c r="BE164" s="53" t="e">
        <f>#REF!/(-10)</f>
        <v>#REF!</v>
      </c>
    </row>
    <row r="165" spans="1:57" s="3" customFormat="1" ht="18" hidden="1" customHeight="1">
      <c r="A165" s="308" t="s">
        <v>7</v>
      </c>
      <c r="B165" s="316"/>
      <c r="C165" s="194" t="s">
        <v>132</v>
      </c>
      <c r="D165" s="53"/>
      <c r="E165" s="34"/>
      <c r="F165" s="72"/>
      <c r="G165" s="73"/>
      <c r="H165" s="74"/>
      <c r="I165" s="75"/>
      <c r="J165" s="72"/>
      <c r="K165" s="72"/>
      <c r="L165" s="72"/>
      <c r="M165" s="73"/>
      <c r="N165" s="75"/>
      <c r="O165" s="72"/>
      <c r="P165" s="72"/>
      <c r="Q165" s="72"/>
      <c r="R165" s="54"/>
      <c r="S165" s="53" t="e">
        <f>#REF!</f>
        <v>#REF!</v>
      </c>
      <c r="T165" s="34" t="e">
        <f>#REF!</f>
        <v>#REF!</v>
      </c>
      <c r="U165" s="34" t="e">
        <f>#REF!</f>
        <v>#REF!</v>
      </c>
      <c r="V165" s="34" t="e">
        <f>#REF!</f>
        <v>#REF!</v>
      </c>
      <c r="W165" s="34" t="e">
        <f>#REF!</f>
        <v>#REF!</v>
      </c>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54"/>
    </row>
    <row r="166" spans="1:57" s="3" customFormat="1" ht="18" hidden="1" customHeight="1">
      <c r="A166" s="308" t="s">
        <v>9</v>
      </c>
      <c r="B166" s="316"/>
      <c r="C166" s="194" t="s">
        <v>133</v>
      </c>
      <c r="D166" s="53"/>
      <c r="E166" s="34"/>
      <c r="F166" s="72"/>
      <c r="G166" s="73"/>
      <c r="H166" s="74"/>
      <c r="I166" s="75"/>
      <c r="J166" s="72"/>
      <c r="K166" s="72"/>
      <c r="L166" s="72"/>
      <c r="M166" s="73"/>
      <c r="N166" s="75"/>
      <c r="O166" s="72"/>
      <c r="P166" s="72"/>
      <c r="Q166" s="72"/>
      <c r="R166" s="54"/>
      <c r="S166" s="53" t="e">
        <f>#REF!</f>
        <v>#REF!</v>
      </c>
      <c r="T166" s="34" t="e">
        <f>#REF!</f>
        <v>#REF!</v>
      </c>
      <c r="U166" s="34" t="e">
        <f>#REF!</f>
        <v>#REF!</v>
      </c>
      <c r="V166" s="34" t="e">
        <f>#REF!</f>
        <v>#REF!</v>
      </c>
      <c r="W166" s="34" t="e">
        <f>#REF!</f>
        <v>#REF!</v>
      </c>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54"/>
    </row>
    <row r="167" spans="1:57" s="3" customFormat="1" ht="46.35" hidden="1" customHeight="1">
      <c r="A167" s="327" t="s">
        <v>126</v>
      </c>
      <c r="B167" s="328"/>
      <c r="C167" s="194" t="s">
        <v>5</v>
      </c>
      <c r="D167" s="53"/>
      <c r="E167" s="34"/>
      <c r="F167" s="72"/>
      <c r="G167" s="73"/>
      <c r="H167" s="74"/>
      <c r="I167" s="75"/>
      <c r="J167" s="72"/>
      <c r="K167" s="72"/>
      <c r="L167" s="72"/>
      <c r="M167" s="73"/>
      <c r="N167" s="75"/>
      <c r="O167" s="72"/>
      <c r="P167" s="72"/>
      <c r="Q167" s="72"/>
      <c r="R167" s="54"/>
      <c r="S167" s="53" t="e">
        <f>#REF!</f>
        <v>#REF!</v>
      </c>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54"/>
    </row>
    <row r="168" spans="1:57" ht="19.5" hidden="1" customHeight="1"/>
    <row r="169" spans="1:57" s="45" customFormat="1" ht="18" hidden="1" customHeight="1">
      <c r="A169" s="324" t="s">
        <v>41</v>
      </c>
      <c r="B169" s="325"/>
      <c r="C169" s="326"/>
      <c r="D169" s="55"/>
      <c r="E169" s="206"/>
      <c r="F169" s="206"/>
      <c r="G169" s="56"/>
      <c r="H169" s="64"/>
      <c r="I169" s="55"/>
      <c r="J169" s="206"/>
      <c r="K169" s="206"/>
      <c r="L169" s="206"/>
      <c r="M169" s="56"/>
      <c r="N169" s="55"/>
      <c r="O169" s="206"/>
      <c r="P169" s="206"/>
      <c r="Q169" s="206"/>
      <c r="R169" s="56"/>
      <c r="S169" s="62" t="e">
        <f t="shared" ref="S169:BE169" si="85">IF(S163="",NA(),S163*(-10))</f>
        <v>#N/A</v>
      </c>
      <c r="T169" s="37" t="e">
        <f t="shared" si="85"/>
        <v>#N/A</v>
      </c>
      <c r="U169" s="37" t="e">
        <f t="shared" si="85"/>
        <v>#N/A</v>
      </c>
      <c r="V169" s="37" t="e">
        <f t="shared" si="85"/>
        <v>#N/A</v>
      </c>
      <c r="W169" s="37" t="e">
        <f t="shared" si="85"/>
        <v>#N/A</v>
      </c>
      <c r="X169" s="37" t="e">
        <f t="shared" si="85"/>
        <v>#N/A</v>
      </c>
      <c r="Y169" s="37" t="e">
        <f t="shared" si="85"/>
        <v>#N/A</v>
      </c>
      <c r="Z169" s="37" t="e">
        <f t="shared" si="85"/>
        <v>#N/A</v>
      </c>
      <c r="AA169" s="37" t="e">
        <f t="shared" si="85"/>
        <v>#N/A</v>
      </c>
      <c r="AB169" s="37" t="e">
        <f t="shared" si="85"/>
        <v>#N/A</v>
      </c>
      <c r="AC169" s="37" t="e">
        <f t="shared" si="85"/>
        <v>#N/A</v>
      </c>
      <c r="AD169" s="37" t="e">
        <f t="shared" si="85"/>
        <v>#N/A</v>
      </c>
      <c r="AE169" s="37" t="e">
        <f t="shared" si="85"/>
        <v>#N/A</v>
      </c>
      <c r="AF169" s="37" t="e">
        <f t="shared" si="85"/>
        <v>#N/A</v>
      </c>
      <c r="AG169" s="37" t="e">
        <f t="shared" si="85"/>
        <v>#N/A</v>
      </c>
      <c r="AH169" s="37" t="e">
        <f t="shared" si="85"/>
        <v>#N/A</v>
      </c>
      <c r="AI169" s="37" t="e">
        <f t="shared" si="85"/>
        <v>#N/A</v>
      </c>
      <c r="AJ169" s="37" t="e">
        <f t="shared" si="85"/>
        <v>#N/A</v>
      </c>
      <c r="AK169" s="37" t="e">
        <f t="shared" si="85"/>
        <v>#N/A</v>
      </c>
      <c r="AL169" s="37" t="e">
        <f t="shared" si="85"/>
        <v>#N/A</v>
      </c>
      <c r="AM169" s="37" t="e">
        <f t="shared" si="85"/>
        <v>#N/A</v>
      </c>
      <c r="AN169" s="37" t="e">
        <f t="shared" si="85"/>
        <v>#N/A</v>
      </c>
      <c r="AO169" s="37" t="e">
        <f t="shared" si="85"/>
        <v>#N/A</v>
      </c>
      <c r="AP169" s="37" t="e">
        <f t="shared" si="85"/>
        <v>#N/A</v>
      </c>
      <c r="AQ169" s="37" t="e">
        <f t="shared" si="85"/>
        <v>#N/A</v>
      </c>
      <c r="AR169" s="37" t="e">
        <f t="shared" si="85"/>
        <v>#N/A</v>
      </c>
      <c r="AS169" s="37" t="e">
        <f t="shared" si="85"/>
        <v>#N/A</v>
      </c>
      <c r="AT169" s="37" t="e">
        <f t="shared" si="85"/>
        <v>#N/A</v>
      </c>
      <c r="AU169" s="37" t="e">
        <f t="shared" si="85"/>
        <v>#N/A</v>
      </c>
      <c r="AV169" s="37" t="e">
        <f t="shared" si="85"/>
        <v>#N/A</v>
      </c>
      <c r="AW169" s="37" t="e">
        <f t="shared" si="85"/>
        <v>#N/A</v>
      </c>
      <c r="AX169" s="37" t="e">
        <f t="shared" si="85"/>
        <v>#N/A</v>
      </c>
      <c r="AY169" s="37" t="e">
        <f t="shared" si="85"/>
        <v>#N/A</v>
      </c>
      <c r="AZ169" s="37" t="e">
        <f t="shared" si="85"/>
        <v>#N/A</v>
      </c>
      <c r="BA169" s="37" t="e">
        <f t="shared" si="85"/>
        <v>#N/A</v>
      </c>
      <c r="BB169" s="37" t="e">
        <f t="shared" si="85"/>
        <v>#N/A</v>
      </c>
      <c r="BC169" s="37" t="e">
        <f t="shared" si="85"/>
        <v>#N/A</v>
      </c>
      <c r="BD169" s="37" t="e">
        <f t="shared" si="85"/>
        <v>#N/A</v>
      </c>
      <c r="BE169" s="63" t="e">
        <f t="shared" si="85"/>
        <v>#N/A</v>
      </c>
    </row>
    <row r="170" spans="1:57" s="4" customFormat="1" ht="40.35" hidden="1" customHeight="1">
      <c r="A170" s="327" t="s">
        <v>127</v>
      </c>
      <c r="B170" s="328"/>
      <c r="C170" s="194" t="s">
        <v>5</v>
      </c>
      <c r="D170" s="57"/>
      <c r="E170" s="35"/>
      <c r="F170" s="35"/>
      <c r="G170" s="58"/>
      <c r="H170" s="65"/>
      <c r="I170" s="57"/>
      <c r="J170" s="35"/>
      <c r="K170" s="35"/>
      <c r="L170" s="35"/>
      <c r="M170" s="58"/>
      <c r="N170" s="57"/>
      <c r="O170" s="35"/>
      <c r="P170" s="35"/>
      <c r="Q170" s="35"/>
      <c r="R170" s="58"/>
      <c r="S170" s="57" t="e">
        <f>#REF!</f>
        <v>#REF!</v>
      </c>
      <c r="T170" s="57" t="e">
        <f>#REF!</f>
        <v>#REF!</v>
      </c>
      <c r="U170" s="57" t="e">
        <f>#REF!</f>
        <v>#REF!</v>
      </c>
      <c r="V170" s="57" t="e">
        <f>#REF!</f>
        <v>#REF!</v>
      </c>
      <c r="W170" s="57" t="e">
        <f>#REF!</f>
        <v>#REF!</v>
      </c>
      <c r="X170" s="57" t="e">
        <f>#REF!</f>
        <v>#REF!</v>
      </c>
      <c r="Y170" s="57" t="e">
        <f>#REF!</f>
        <v>#REF!</v>
      </c>
      <c r="Z170" s="57" t="e">
        <f>#REF!</f>
        <v>#REF!</v>
      </c>
      <c r="AA170" s="57" t="e">
        <f>#REF!</f>
        <v>#REF!</v>
      </c>
      <c r="AB170" s="57" t="e">
        <f>#REF!</f>
        <v>#REF!</v>
      </c>
      <c r="AC170" s="57" t="e">
        <f>#REF!</f>
        <v>#REF!</v>
      </c>
      <c r="AD170" s="57" t="e">
        <f>#REF!</f>
        <v>#REF!</v>
      </c>
      <c r="AE170" s="57" t="e">
        <f>#REF!</f>
        <v>#REF!</v>
      </c>
      <c r="AF170" s="57" t="e">
        <f>#REF!</f>
        <v>#REF!</v>
      </c>
      <c r="AG170" s="57" t="e">
        <f>#REF!</f>
        <v>#REF!</v>
      </c>
      <c r="AH170" s="57" t="e">
        <f>#REF!</f>
        <v>#REF!</v>
      </c>
      <c r="AI170" s="57" t="e">
        <f>#REF!</f>
        <v>#REF!</v>
      </c>
      <c r="AJ170" s="57" t="e">
        <f>#REF!</f>
        <v>#REF!</v>
      </c>
      <c r="AK170" s="57" t="e">
        <f>#REF!</f>
        <v>#REF!</v>
      </c>
      <c r="AL170" s="57" t="e">
        <f>#REF!</f>
        <v>#REF!</v>
      </c>
      <c r="AM170" s="57" t="e">
        <f>#REF!</f>
        <v>#REF!</v>
      </c>
      <c r="AN170" s="57" t="e">
        <f>#REF!</f>
        <v>#REF!</v>
      </c>
      <c r="AO170" s="57" t="e">
        <f>#REF!</f>
        <v>#REF!</v>
      </c>
      <c r="AP170" s="57" t="e">
        <f>#REF!</f>
        <v>#REF!</v>
      </c>
      <c r="AQ170" s="57" t="e">
        <f>#REF!</f>
        <v>#REF!</v>
      </c>
      <c r="AR170" s="57" t="e">
        <f>#REF!</f>
        <v>#REF!</v>
      </c>
      <c r="AS170" s="57" t="e">
        <f>#REF!</f>
        <v>#REF!</v>
      </c>
      <c r="AT170" s="57" t="e">
        <f>#REF!</f>
        <v>#REF!</v>
      </c>
      <c r="AU170" s="57" t="e">
        <f>#REF!</f>
        <v>#REF!</v>
      </c>
      <c r="AV170" s="57" t="e">
        <f>#REF!</f>
        <v>#REF!</v>
      </c>
      <c r="AW170" s="57" t="e">
        <f>#REF!</f>
        <v>#REF!</v>
      </c>
      <c r="AX170" s="57" t="e">
        <f>#REF!</f>
        <v>#REF!</v>
      </c>
      <c r="AY170" s="57" t="e">
        <f>#REF!</f>
        <v>#REF!</v>
      </c>
      <c r="AZ170" s="57" t="e">
        <f>#REF!</f>
        <v>#REF!</v>
      </c>
      <c r="BA170" s="57" t="e">
        <f>#REF!</f>
        <v>#REF!</v>
      </c>
      <c r="BB170" s="57" t="e">
        <f>#REF!</f>
        <v>#REF!</v>
      </c>
      <c r="BC170" s="57" t="e">
        <f>#REF!</f>
        <v>#REF!</v>
      </c>
      <c r="BD170" s="57" t="e">
        <f>#REF!</f>
        <v>#REF!</v>
      </c>
      <c r="BE170" s="57" t="e">
        <f>#REF!</f>
        <v>#REF!</v>
      </c>
    </row>
    <row r="171" spans="1:57" ht="19.5" hidden="1" customHeight="1"/>
    <row r="172" spans="1:57" s="3" customFormat="1" ht="47.4" hidden="1" customHeight="1">
      <c r="A172" s="327" t="s">
        <v>128</v>
      </c>
      <c r="B172" s="328"/>
      <c r="C172" s="194" t="s">
        <v>5</v>
      </c>
      <c r="D172" s="59"/>
      <c r="E172" s="36"/>
      <c r="F172" s="36"/>
      <c r="G172" s="60"/>
      <c r="H172" s="66"/>
      <c r="I172" s="59"/>
      <c r="J172" s="36"/>
      <c r="K172" s="36"/>
      <c r="L172" s="36"/>
      <c r="M172" s="60"/>
      <c r="N172" s="59"/>
      <c r="O172" s="36"/>
      <c r="P172" s="36"/>
      <c r="Q172" s="36"/>
      <c r="R172" s="60"/>
      <c r="S172" s="59" t="e">
        <f>#REF!</f>
        <v>#REF!</v>
      </c>
      <c r="T172" s="59" t="e">
        <f>#REF!</f>
        <v>#REF!</v>
      </c>
      <c r="U172" s="59" t="e">
        <f>#REF!</f>
        <v>#REF!</v>
      </c>
      <c r="V172" s="59" t="e">
        <f>#REF!</f>
        <v>#REF!</v>
      </c>
      <c r="W172" s="59" t="e">
        <f>#REF!</f>
        <v>#REF!</v>
      </c>
      <c r="X172" s="59" t="e">
        <f>#REF!</f>
        <v>#REF!</v>
      </c>
      <c r="Y172" s="59" t="e">
        <f>#REF!</f>
        <v>#REF!</v>
      </c>
      <c r="Z172" s="59" t="e">
        <f>#REF!</f>
        <v>#REF!</v>
      </c>
      <c r="AA172" s="59" t="e">
        <f>#REF!</f>
        <v>#REF!</v>
      </c>
      <c r="AB172" s="59" t="e">
        <f>#REF!</f>
        <v>#REF!</v>
      </c>
      <c r="AC172" s="59" t="e">
        <f>#REF!</f>
        <v>#REF!</v>
      </c>
      <c r="AD172" s="59" t="e">
        <f>#REF!</f>
        <v>#REF!</v>
      </c>
      <c r="AE172" s="59" t="e">
        <f>#REF!</f>
        <v>#REF!</v>
      </c>
      <c r="AF172" s="59" t="e">
        <f>#REF!</f>
        <v>#REF!</v>
      </c>
      <c r="AG172" s="59" t="e">
        <f>#REF!</f>
        <v>#REF!</v>
      </c>
      <c r="AH172" s="59" t="e">
        <f>#REF!</f>
        <v>#REF!</v>
      </c>
      <c r="AI172" s="59" t="e">
        <f>#REF!</f>
        <v>#REF!</v>
      </c>
      <c r="AJ172" s="59" t="e">
        <f>#REF!</f>
        <v>#REF!</v>
      </c>
      <c r="AK172" s="59" t="e">
        <f>#REF!</f>
        <v>#REF!</v>
      </c>
      <c r="AL172" s="59" t="e">
        <f>#REF!</f>
        <v>#REF!</v>
      </c>
      <c r="AM172" s="59" t="e">
        <f>#REF!</f>
        <v>#REF!</v>
      </c>
      <c r="AN172" s="59" t="e">
        <f>#REF!</f>
        <v>#REF!</v>
      </c>
      <c r="AO172" s="59" t="e">
        <f>#REF!</f>
        <v>#REF!</v>
      </c>
      <c r="AP172" s="59" t="e">
        <f>#REF!</f>
        <v>#REF!</v>
      </c>
      <c r="AQ172" s="59" t="e">
        <f>#REF!</f>
        <v>#REF!</v>
      </c>
      <c r="AR172" s="59" t="e">
        <f>#REF!</f>
        <v>#REF!</v>
      </c>
      <c r="AS172" s="59" t="e">
        <f>#REF!</f>
        <v>#REF!</v>
      </c>
      <c r="AT172" s="59" t="e">
        <f>#REF!</f>
        <v>#REF!</v>
      </c>
      <c r="AU172" s="59" t="e">
        <f>#REF!</f>
        <v>#REF!</v>
      </c>
      <c r="AV172" s="59" t="e">
        <f>#REF!</f>
        <v>#REF!</v>
      </c>
      <c r="AW172" s="59" t="e">
        <f>#REF!</f>
        <v>#REF!</v>
      </c>
      <c r="AX172" s="59" t="e">
        <f>#REF!</f>
        <v>#REF!</v>
      </c>
      <c r="AY172" s="59" t="e">
        <f>#REF!</f>
        <v>#REF!</v>
      </c>
      <c r="AZ172" s="59" t="e">
        <f>#REF!</f>
        <v>#REF!</v>
      </c>
      <c r="BA172" s="59" t="e">
        <f>#REF!</f>
        <v>#REF!</v>
      </c>
      <c r="BB172" s="59" t="e">
        <f>#REF!</f>
        <v>#REF!</v>
      </c>
      <c r="BC172" s="59" t="e">
        <f>#REF!</f>
        <v>#REF!</v>
      </c>
      <c r="BD172" s="59" t="e">
        <f>#REF!</f>
        <v>#REF!</v>
      </c>
      <c r="BE172" s="59" t="e">
        <f>#REF!</f>
        <v>#REF!</v>
      </c>
    </row>
    <row r="173" spans="1:57" s="3" customFormat="1" ht="18" hidden="1" customHeight="1">
      <c r="A173" s="308" t="s">
        <v>6</v>
      </c>
      <c r="B173" s="316"/>
      <c r="C173" s="194" t="s">
        <v>132</v>
      </c>
      <c r="D173" s="59"/>
      <c r="E173" s="36"/>
      <c r="F173" s="36"/>
      <c r="G173" s="60"/>
      <c r="H173" s="66"/>
      <c r="I173" s="59"/>
      <c r="J173" s="36"/>
      <c r="K173" s="36"/>
      <c r="L173" s="36"/>
      <c r="M173" s="60"/>
      <c r="N173" s="59"/>
      <c r="O173" s="36"/>
      <c r="P173" s="36"/>
      <c r="Q173" s="36"/>
      <c r="R173" s="60"/>
      <c r="S173" s="59" t="e">
        <f>#REF!</f>
        <v>#REF!</v>
      </c>
      <c r="T173" s="36" t="e">
        <f>#REF!</f>
        <v>#REF!</v>
      </c>
      <c r="U173" s="36" t="e">
        <f>#REF!</f>
        <v>#REF!</v>
      </c>
      <c r="V173" s="59" t="e">
        <f>#REF!</f>
        <v>#REF!</v>
      </c>
      <c r="W173" s="36" t="e">
        <f>#REF!</f>
        <v>#REF!</v>
      </c>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4"/>
      <c r="AW173" s="34"/>
      <c r="AX173" s="34"/>
      <c r="AY173" s="34"/>
      <c r="AZ173" s="34"/>
      <c r="BA173" s="34"/>
      <c r="BB173" s="34"/>
      <c r="BC173" s="34"/>
      <c r="BD173" s="34"/>
      <c r="BE173" s="54"/>
    </row>
    <row r="174" spans="1:57" s="3" customFormat="1" ht="18" hidden="1" customHeight="1">
      <c r="A174" s="308" t="s">
        <v>8</v>
      </c>
      <c r="B174" s="316"/>
      <c r="C174" s="194" t="s">
        <v>133</v>
      </c>
      <c r="D174" s="59"/>
      <c r="E174" s="36"/>
      <c r="F174" s="36"/>
      <c r="G174" s="60"/>
      <c r="H174" s="66"/>
      <c r="I174" s="59"/>
      <c r="J174" s="36"/>
      <c r="K174" s="36"/>
      <c r="L174" s="36"/>
      <c r="M174" s="60"/>
      <c r="N174" s="59"/>
      <c r="O174" s="36"/>
      <c r="P174" s="36"/>
      <c r="Q174" s="36"/>
      <c r="R174" s="60"/>
      <c r="S174" s="59" t="e">
        <f>#REF!</f>
        <v>#REF!</v>
      </c>
      <c r="T174" s="36" t="e">
        <f>#REF!</f>
        <v>#REF!</v>
      </c>
      <c r="U174" s="36" t="e">
        <f>#REF!</f>
        <v>#REF!</v>
      </c>
      <c r="V174" s="36" t="e">
        <f>#REF!</f>
        <v>#REF!</v>
      </c>
      <c r="W174" s="36" t="e">
        <f>#REF!</f>
        <v>#REF!</v>
      </c>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4"/>
      <c r="AW174" s="34"/>
      <c r="AX174" s="34"/>
      <c r="AY174" s="34"/>
      <c r="AZ174" s="34"/>
      <c r="BA174" s="34"/>
      <c r="BB174" s="34"/>
      <c r="BC174" s="34"/>
      <c r="BD174" s="34"/>
      <c r="BE174" s="54"/>
    </row>
    <row r="175" spans="1:57" ht="19.5" hidden="1" customHeight="1"/>
    <row r="176" spans="1:57" ht="19.5" hidden="1" customHeight="1">
      <c r="A176" t="s">
        <v>130</v>
      </c>
    </row>
    <row r="177" spans="1:58" ht="18" hidden="1" customHeight="1">
      <c r="A177" s="308" t="s">
        <v>34</v>
      </c>
      <c r="B177" s="316"/>
      <c r="C177" s="194" t="s">
        <v>5</v>
      </c>
      <c r="D177" s="62"/>
      <c r="E177" s="37"/>
      <c r="F177" s="37"/>
      <c r="G177" s="63"/>
      <c r="H177" s="67"/>
      <c r="I177" s="62"/>
      <c r="J177" s="37"/>
      <c r="K177" s="37"/>
      <c r="L177" s="37"/>
      <c r="M177" s="63"/>
      <c r="N177" s="62"/>
      <c r="O177" s="37"/>
      <c r="P177" s="37"/>
      <c r="Q177" s="37"/>
      <c r="R177" s="63"/>
      <c r="S177" s="62" t="e">
        <f>#REF!</f>
        <v>#REF!</v>
      </c>
      <c r="T177" s="62" t="e">
        <f>#REF!</f>
        <v>#REF!</v>
      </c>
      <c r="U177" s="62" t="e">
        <f>#REF!</f>
        <v>#REF!</v>
      </c>
      <c r="V177" s="62" t="e">
        <f>#REF!</f>
        <v>#REF!</v>
      </c>
      <c r="W177" s="62" t="e">
        <f>#REF!</f>
        <v>#REF!</v>
      </c>
      <c r="X177" s="62" t="e">
        <f>#REF!</f>
        <v>#REF!</v>
      </c>
      <c r="Y177" s="62" t="e">
        <f>#REF!</f>
        <v>#REF!</v>
      </c>
      <c r="Z177" s="62" t="e">
        <f>#REF!</f>
        <v>#REF!</v>
      </c>
      <c r="AA177" s="62" t="e">
        <f>#REF!</f>
        <v>#REF!</v>
      </c>
      <c r="AB177" s="62" t="e">
        <f>#REF!</f>
        <v>#REF!</v>
      </c>
      <c r="AC177" s="62" t="e">
        <f>#REF!</f>
        <v>#REF!</v>
      </c>
      <c r="AD177" s="62" t="e">
        <f>#REF!</f>
        <v>#REF!</v>
      </c>
      <c r="AE177" s="62" t="e">
        <f>#REF!</f>
        <v>#REF!</v>
      </c>
      <c r="AF177" s="62" t="e">
        <f>#REF!</f>
        <v>#REF!</v>
      </c>
      <c r="AG177" s="62" t="e">
        <f>#REF!</f>
        <v>#REF!</v>
      </c>
      <c r="AH177" s="62" t="e">
        <f>#REF!</f>
        <v>#REF!</v>
      </c>
      <c r="AI177" s="62" t="e">
        <f>#REF!</f>
        <v>#REF!</v>
      </c>
      <c r="AJ177" s="62" t="e">
        <f>#REF!</f>
        <v>#REF!</v>
      </c>
      <c r="AK177" s="62" t="e">
        <f>#REF!</f>
        <v>#REF!</v>
      </c>
      <c r="AL177" s="62" t="e">
        <f>#REF!</f>
        <v>#REF!</v>
      </c>
      <c r="AM177" s="62" t="e">
        <f>#REF!</f>
        <v>#REF!</v>
      </c>
      <c r="AN177" s="62" t="e">
        <f>#REF!</f>
        <v>#REF!</v>
      </c>
      <c r="AO177" s="62" t="e">
        <f>#REF!</f>
        <v>#REF!</v>
      </c>
      <c r="AP177" s="62" t="e">
        <f>#REF!</f>
        <v>#REF!</v>
      </c>
      <c r="AQ177" s="62" t="e">
        <f>#REF!</f>
        <v>#REF!</v>
      </c>
      <c r="AR177" s="62" t="e">
        <f>#REF!</f>
        <v>#REF!</v>
      </c>
      <c r="AS177" s="62" t="e">
        <f>#REF!</f>
        <v>#REF!</v>
      </c>
      <c r="AT177" s="62" t="e">
        <f>#REF!</f>
        <v>#REF!</v>
      </c>
      <c r="AU177" s="62" t="e">
        <f>#REF!</f>
        <v>#REF!</v>
      </c>
      <c r="AV177" s="62" t="e">
        <f>#REF!</f>
        <v>#REF!</v>
      </c>
      <c r="AW177" s="62" t="e">
        <f>#REF!</f>
        <v>#REF!</v>
      </c>
      <c r="AX177" s="62" t="e">
        <f>#REF!</f>
        <v>#REF!</v>
      </c>
      <c r="AY177" s="62" t="e">
        <f>#REF!</f>
        <v>#REF!</v>
      </c>
      <c r="AZ177" s="62" t="e">
        <f>#REF!</f>
        <v>#REF!</v>
      </c>
      <c r="BA177" s="62" t="e">
        <f>#REF!</f>
        <v>#REF!</v>
      </c>
      <c r="BB177" s="62" t="e">
        <f>#REF!</f>
        <v>#REF!</v>
      </c>
      <c r="BC177" s="62" t="e">
        <f>#REF!</f>
        <v>#REF!</v>
      </c>
      <c r="BD177" s="62" t="e">
        <f>#REF!</f>
        <v>#REF!</v>
      </c>
      <c r="BE177" s="62" t="e">
        <f>#REF!</f>
        <v>#REF!</v>
      </c>
    </row>
    <row r="178" spans="1:58" ht="18" hidden="1" customHeight="1">
      <c r="A178" s="29"/>
      <c r="B178" s="308" t="s">
        <v>32</v>
      </c>
      <c r="C178" s="472"/>
      <c r="D178" s="62"/>
      <c r="E178" s="37"/>
      <c r="F178" s="37"/>
      <c r="G178" s="63"/>
      <c r="H178" s="67"/>
      <c r="I178" s="62"/>
      <c r="J178" s="37"/>
      <c r="K178" s="37"/>
      <c r="L178" s="37"/>
      <c r="M178" s="63"/>
      <c r="N178" s="62"/>
      <c r="O178" s="37"/>
      <c r="P178" s="37"/>
      <c r="Q178" s="37"/>
      <c r="R178" s="63"/>
      <c r="S178" s="68" t="e">
        <f t="shared" ref="S178:BE178" si="86">IF(S163="",NA(),ROUND(1443/(1443+S169),4))</f>
        <v>#N/A</v>
      </c>
      <c r="T178" s="38" t="e">
        <f t="shared" si="86"/>
        <v>#N/A</v>
      </c>
      <c r="U178" s="38" t="e">
        <f t="shared" si="86"/>
        <v>#N/A</v>
      </c>
      <c r="V178" s="38" t="e">
        <f t="shared" si="86"/>
        <v>#N/A</v>
      </c>
      <c r="W178" s="38" t="e">
        <f t="shared" si="86"/>
        <v>#N/A</v>
      </c>
      <c r="X178" s="38" t="e">
        <f t="shared" si="86"/>
        <v>#N/A</v>
      </c>
      <c r="Y178" s="38" t="e">
        <f t="shared" si="86"/>
        <v>#N/A</v>
      </c>
      <c r="Z178" s="38" t="e">
        <f t="shared" si="86"/>
        <v>#N/A</v>
      </c>
      <c r="AA178" s="38" t="e">
        <f t="shared" si="86"/>
        <v>#N/A</v>
      </c>
      <c r="AB178" s="38" t="e">
        <f t="shared" si="86"/>
        <v>#N/A</v>
      </c>
      <c r="AC178" s="38" t="e">
        <f t="shared" si="86"/>
        <v>#N/A</v>
      </c>
      <c r="AD178" s="38" t="e">
        <f t="shared" si="86"/>
        <v>#N/A</v>
      </c>
      <c r="AE178" s="38" t="e">
        <f t="shared" si="86"/>
        <v>#N/A</v>
      </c>
      <c r="AF178" s="38" t="e">
        <f t="shared" si="86"/>
        <v>#N/A</v>
      </c>
      <c r="AG178" s="38" t="e">
        <f t="shared" si="86"/>
        <v>#N/A</v>
      </c>
      <c r="AH178" s="38" t="e">
        <f t="shared" si="86"/>
        <v>#N/A</v>
      </c>
      <c r="AI178" s="38" t="e">
        <f t="shared" si="86"/>
        <v>#N/A</v>
      </c>
      <c r="AJ178" s="38" t="e">
        <f t="shared" si="86"/>
        <v>#N/A</v>
      </c>
      <c r="AK178" s="38" t="e">
        <f t="shared" si="86"/>
        <v>#N/A</v>
      </c>
      <c r="AL178" s="38" t="e">
        <f t="shared" si="86"/>
        <v>#N/A</v>
      </c>
      <c r="AM178" s="38" t="e">
        <f t="shared" si="86"/>
        <v>#N/A</v>
      </c>
      <c r="AN178" s="38" t="e">
        <f t="shared" si="86"/>
        <v>#N/A</v>
      </c>
      <c r="AO178" s="38" t="e">
        <f t="shared" si="86"/>
        <v>#N/A</v>
      </c>
      <c r="AP178" s="38" t="e">
        <f t="shared" si="86"/>
        <v>#N/A</v>
      </c>
      <c r="AQ178" s="38" t="e">
        <f t="shared" si="86"/>
        <v>#N/A</v>
      </c>
      <c r="AR178" s="38" t="e">
        <f t="shared" si="86"/>
        <v>#N/A</v>
      </c>
      <c r="AS178" s="38" t="e">
        <f t="shared" si="86"/>
        <v>#N/A</v>
      </c>
      <c r="AT178" s="38" t="e">
        <f t="shared" si="86"/>
        <v>#N/A</v>
      </c>
      <c r="AU178" s="38" t="e">
        <f t="shared" si="86"/>
        <v>#N/A</v>
      </c>
      <c r="AV178" s="38" t="e">
        <f t="shared" si="86"/>
        <v>#N/A</v>
      </c>
      <c r="AW178" s="38" t="e">
        <f t="shared" si="86"/>
        <v>#N/A</v>
      </c>
      <c r="AX178" s="38" t="e">
        <f t="shared" si="86"/>
        <v>#N/A</v>
      </c>
      <c r="AY178" s="38" t="e">
        <f t="shared" si="86"/>
        <v>#N/A</v>
      </c>
      <c r="AZ178" s="38" t="e">
        <f t="shared" si="86"/>
        <v>#N/A</v>
      </c>
      <c r="BA178" s="38" t="e">
        <f t="shared" si="86"/>
        <v>#N/A</v>
      </c>
      <c r="BB178" s="38" t="e">
        <f t="shared" si="86"/>
        <v>#N/A</v>
      </c>
      <c r="BC178" s="38" t="e">
        <f t="shared" si="86"/>
        <v>#N/A</v>
      </c>
      <c r="BD178" s="38" t="e">
        <f t="shared" si="86"/>
        <v>#N/A</v>
      </c>
      <c r="BE178" s="69" t="e">
        <f t="shared" si="86"/>
        <v>#N/A</v>
      </c>
      <c r="BF178" t="s">
        <v>131</v>
      </c>
    </row>
    <row r="179" spans="1:58" ht="18" hidden="1" customHeight="1">
      <c r="A179" s="29"/>
      <c r="B179" s="308" t="s">
        <v>33</v>
      </c>
      <c r="C179" s="472"/>
      <c r="D179" s="62"/>
      <c r="E179" s="37"/>
      <c r="F179" s="37"/>
      <c r="G179" s="63"/>
      <c r="H179" s="67"/>
      <c r="I179" s="62"/>
      <c r="J179" s="37"/>
      <c r="K179" s="37"/>
      <c r="L179" s="37"/>
      <c r="M179" s="63"/>
      <c r="N179" s="62"/>
      <c r="O179" s="37"/>
      <c r="P179" s="37"/>
      <c r="Q179" s="37"/>
      <c r="R179" s="63"/>
      <c r="S179" s="68" t="e">
        <f>IF(S16="",NA(),IFERROR(S16*VLOOKUP(S16,'各種計算式等（配付時非表示）'!$E$3:$H$1003,3,TRUE)+VLOOKUP(S16,'各種計算式等（配付時非表示）'!$E$3:$H$1003,4,TRUE)+0.0000000001,"-"))</f>
        <v>#N/A</v>
      </c>
      <c r="T179" s="38" t="e">
        <f>IF(T16="",NA(),IFERROR(T16*VLOOKUP(T16,'各種計算式等（配付時非表示）'!$E$3:$H$1003,3,TRUE)+VLOOKUP(T16,'各種計算式等（配付時非表示）'!$E$3:$H$1003,4,TRUE)+0.0000000001,"-"))</f>
        <v>#N/A</v>
      </c>
      <c r="U179" s="38" t="e">
        <f>IF(U16="",NA(),IFERROR(U16*VLOOKUP(U16,'各種計算式等（配付時非表示）'!$E$3:$H$1003,3,TRUE)+VLOOKUP(U16,'各種計算式等（配付時非表示）'!$E$3:$H$1003,4,TRUE)+0.0000000001,"-"))</f>
        <v>#N/A</v>
      </c>
      <c r="V179" s="38" t="e">
        <f>IF(V16="",NA(),IFERROR(V16*VLOOKUP(V16,'各種計算式等（配付時非表示）'!$E$3:$H$1003,3,TRUE)+VLOOKUP(V16,'各種計算式等（配付時非表示）'!$E$3:$H$1003,4,TRUE)+0.0000000001,"-"))</f>
        <v>#N/A</v>
      </c>
      <c r="W179" s="38" t="e">
        <f>IF(W16="",NA(),IFERROR(W16*VLOOKUP(W16,'各種計算式等（配付時非表示）'!$E$3:$H$1003,3,TRUE)+VLOOKUP(W16,'各種計算式等（配付時非表示）'!$E$3:$H$1003,4,TRUE)+0.0000000001,"-"))</f>
        <v>#N/A</v>
      </c>
      <c r="X179" s="38" t="e">
        <f>IF(X16="",NA(),IFERROR(X16*VLOOKUP(X16,'各種計算式等（配付時非表示）'!$E$3:$H$1003,3,TRUE)+VLOOKUP(X16,'各種計算式等（配付時非表示）'!$E$3:$H$1003,4,TRUE)+0.0000000001,"-"))</f>
        <v>#N/A</v>
      </c>
      <c r="Y179" s="38" t="e">
        <f>IF(Y16="",NA(),IFERROR(Y16*VLOOKUP(Y16,'各種計算式等（配付時非表示）'!$E$3:$H$1003,3,TRUE)+VLOOKUP(Y16,'各種計算式等（配付時非表示）'!$E$3:$H$1003,4,TRUE)+0.0000000001,"-"))</f>
        <v>#N/A</v>
      </c>
      <c r="Z179" s="38" t="e">
        <f>IF(Z16="",NA(),IFERROR(Z16*VLOOKUP(Z16,'各種計算式等（配付時非表示）'!$E$3:$H$1003,3,TRUE)+VLOOKUP(Z16,'各種計算式等（配付時非表示）'!$E$3:$H$1003,4,TRUE)+0.0000000001,"-"))</f>
        <v>#N/A</v>
      </c>
      <c r="AA179" s="38" t="e">
        <f>IF(AA16="",NA(),IFERROR(AA16*VLOOKUP(AA16,'各種計算式等（配付時非表示）'!$E$3:$H$1003,3,TRUE)+VLOOKUP(AA16,'各種計算式等（配付時非表示）'!$E$3:$H$1003,4,TRUE)+0.0000000001,"-"))</f>
        <v>#N/A</v>
      </c>
      <c r="AB179" s="38" t="e">
        <f>IF(AB16="",NA(),IFERROR(AB16*VLOOKUP(AB16,'各種計算式等（配付時非表示）'!$E$3:$H$1003,3,TRUE)+VLOOKUP(AB16,'各種計算式等（配付時非表示）'!$E$3:$H$1003,4,TRUE)+0.0000000001,"-"))</f>
        <v>#N/A</v>
      </c>
      <c r="AC179" s="38" t="e">
        <f>IF(AC16="",NA(),IFERROR(AC16*VLOOKUP(AC16,'各種計算式等（配付時非表示）'!$E$3:$H$1003,3,TRUE)+VLOOKUP(AC16,'各種計算式等（配付時非表示）'!$E$3:$H$1003,4,TRUE)+0.0000000001,"-"))</f>
        <v>#N/A</v>
      </c>
      <c r="AD179" s="38" t="e">
        <f>IF(AD16="",NA(),IFERROR(AD16*VLOOKUP(AD16,'各種計算式等（配付時非表示）'!$E$3:$H$1003,3,TRUE)+VLOOKUP(AD16,'各種計算式等（配付時非表示）'!$E$3:$H$1003,4,TRUE)+0.0000000001,"-"))</f>
        <v>#N/A</v>
      </c>
      <c r="AE179" s="38" t="e">
        <f>IF(AE16="",NA(),IFERROR(AE16*VLOOKUP(AE16,'各種計算式等（配付時非表示）'!$E$3:$H$1003,3,TRUE)+VLOOKUP(AE16,'各種計算式等（配付時非表示）'!$E$3:$H$1003,4,TRUE)+0.0000000001,"-"))</f>
        <v>#N/A</v>
      </c>
      <c r="AF179" s="38" t="e">
        <f>IF(AF16="",NA(),IFERROR(AF16*VLOOKUP(AF16,'各種計算式等（配付時非表示）'!$E$3:$H$1003,3,TRUE)+VLOOKUP(AF16,'各種計算式等（配付時非表示）'!$E$3:$H$1003,4,TRUE)+0.0000000001,"-"))</f>
        <v>#N/A</v>
      </c>
      <c r="AG179" s="38" t="e">
        <f>IF(AG16="",NA(),IFERROR(AG16*VLOOKUP(AG16,'各種計算式等（配付時非表示）'!$E$3:$H$1003,3,TRUE)+VLOOKUP(AG16,'各種計算式等（配付時非表示）'!$E$3:$H$1003,4,TRUE)+0.0000000001,"-"))</f>
        <v>#N/A</v>
      </c>
      <c r="AH179" s="38" t="e">
        <f>IF(AH16="",NA(),IFERROR(AH16*VLOOKUP(AH16,'各種計算式等（配付時非表示）'!$E$3:$H$1003,3,TRUE)+VLOOKUP(AH16,'各種計算式等（配付時非表示）'!$E$3:$H$1003,4,TRUE)+0.0000000001,"-"))</f>
        <v>#N/A</v>
      </c>
      <c r="AI179" s="38" t="e">
        <f>IF(AI16="",NA(),IFERROR(AI16*VLOOKUP(AI16,'各種計算式等（配付時非表示）'!$E$3:$H$1003,3,TRUE)+VLOOKUP(AI16,'各種計算式等（配付時非表示）'!$E$3:$H$1003,4,TRUE)+0.0000000001,"-"))</f>
        <v>#N/A</v>
      </c>
      <c r="AJ179" s="38" t="e">
        <f>IF(AJ16="",NA(),IFERROR(AJ16*VLOOKUP(AJ16,'各種計算式等（配付時非表示）'!$E$3:$H$1003,3,TRUE)+VLOOKUP(AJ16,'各種計算式等（配付時非表示）'!$E$3:$H$1003,4,TRUE)+0.0000000001,"-"))</f>
        <v>#N/A</v>
      </c>
      <c r="AK179" s="38" t="e">
        <f>IF(AK16="",NA(),IFERROR(AK16*VLOOKUP(AK16,'各種計算式等（配付時非表示）'!$E$3:$H$1003,3,TRUE)+VLOOKUP(AK16,'各種計算式等（配付時非表示）'!$E$3:$H$1003,4,TRUE)+0.0000000001,"-"))</f>
        <v>#N/A</v>
      </c>
      <c r="AL179" s="38" t="e">
        <f>IF(AL16="",NA(),IFERROR(AL16*VLOOKUP(AL16,'各種計算式等（配付時非表示）'!$E$3:$H$1003,3,TRUE)+VLOOKUP(AL16,'各種計算式等（配付時非表示）'!$E$3:$H$1003,4,TRUE)+0.0000000001,"-"))</f>
        <v>#N/A</v>
      </c>
      <c r="AM179" s="38" t="e">
        <f>IF(AM16="",NA(),IFERROR(AM16*VLOOKUP(AM16,'各種計算式等（配付時非表示）'!$E$3:$H$1003,3,TRUE)+VLOOKUP(AM16,'各種計算式等（配付時非表示）'!$E$3:$H$1003,4,TRUE)+0.0000000001,"-"))</f>
        <v>#N/A</v>
      </c>
      <c r="AN179" s="38" t="e">
        <f>IF(AN16="",NA(),IFERROR(AN16*VLOOKUP(AN16,'各種計算式等（配付時非表示）'!$E$3:$H$1003,3,TRUE)+VLOOKUP(AN16,'各種計算式等（配付時非表示）'!$E$3:$H$1003,4,TRUE)+0.0000000001,"-"))</f>
        <v>#N/A</v>
      </c>
      <c r="AO179" s="38" t="e">
        <f>IF(AO16="",NA(),IFERROR(AO16*VLOOKUP(AO16,'各種計算式等（配付時非表示）'!$E$3:$H$1003,3,TRUE)+VLOOKUP(AO16,'各種計算式等（配付時非表示）'!$E$3:$H$1003,4,TRUE)+0.0000000001,"-"))</f>
        <v>#N/A</v>
      </c>
      <c r="AP179" s="38" t="e">
        <f>IF(AP16="",NA(),IFERROR(AP16*VLOOKUP(AP16,'各種計算式等（配付時非表示）'!$E$3:$H$1003,3,TRUE)+VLOOKUP(AP16,'各種計算式等（配付時非表示）'!$E$3:$H$1003,4,TRUE)+0.0000000001,"-"))</f>
        <v>#N/A</v>
      </c>
      <c r="AQ179" s="38" t="e">
        <f>IF(AQ16="",NA(),IFERROR(AQ16*VLOOKUP(AQ16,'各種計算式等（配付時非表示）'!$E$3:$H$1003,3,TRUE)+VLOOKUP(AQ16,'各種計算式等（配付時非表示）'!$E$3:$H$1003,4,TRUE)+0.0000000001,"-"))</f>
        <v>#N/A</v>
      </c>
      <c r="AR179" s="38" t="e">
        <f>IF(AR16="",NA(),IFERROR(AR16*VLOOKUP(AR16,'各種計算式等（配付時非表示）'!$E$3:$H$1003,3,TRUE)+VLOOKUP(AR16,'各種計算式等（配付時非表示）'!$E$3:$H$1003,4,TRUE)+0.0000000001,"-"))</f>
        <v>#N/A</v>
      </c>
      <c r="AS179" s="38" t="e">
        <f>IF(AS16="",NA(),IFERROR(AS16*VLOOKUP(AS16,'各種計算式等（配付時非表示）'!$E$3:$H$1003,3,TRUE)+VLOOKUP(AS16,'各種計算式等（配付時非表示）'!$E$3:$H$1003,4,TRUE)+0.0000000001,"-"))</f>
        <v>#N/A</v>
      </c>
      <c r="AT179" s="38" t="e">
        <f>IF(AT16="",NA(),IFERROR(AT16*VLOOKUP(AT16,'各種計算式等（配付時非表示）'!$E$3:$H$1003,3,TRUE)+VLOOKUP(AT16,'各種計算式等（配付時非表示）'!$E$3:$H$1003,4,TRUE)+0.0000000001,"-"))</f>
        <v>#N/A</v>
      </c>
      <c r="AU179" s="38" t="e">
        <f>IF(AU16="",NA(),IFERROR(AU16*VLOOKUP(AU16,'各種計算式等（配付時非表示）'!$E$3:$H$1003,3,TRUE)+VLOOKUP(AU16,'各種計算式等（配付時非表示）'!$E$3:$H$1003,4,TRUE)+0.0000000001,"-"))</f>
        <v>#N/A</v>
      </c>
      <c r="AV179" s="38" t="e">
        <f>IF(AV16="",NA(),IFERROR(AV16*VLOOKUP(AV16,'各種計算式等（配付時非表示）'!$E$3:$H$1003,3,TRUE)+VLOOKUP(AV16,'各種計算式等（配付時非表示）'!$E$3:$H$1003,4,TRUE)+0.0000000001,"-"))</f>
        <v>#N/A</v>
      </c>
      <c r="AW179" s="38" t="e">
        <f>IF(AW16="",NA(),IFERROR(AW16*VLOOKUP(AW16,'各種計算式等（配付時非表示）'!$E$3:$H$1003,3,TRUE)+VLOOKUP(AW16,'各種計算式等（配付時非表示）'!$E$3:$H$1003,4,TRUE)+0.0000000001,"-"))</f>
        <v>#N/A</v>
      </c>
      <c r="AX179" s="38" t="e">
        <f>IF(AX16="",NA(),IFERROR(AX16*VLOOKUP(AX16,'各種計算式等（配付時非表示）'!$E$3:$H$1003,3,TRUE)+VLOOKUP(AX16,'各種計算式等（配付時非表示）'!$E$3:$H$1003,4,TRUE)+0.0000000001,"-"))</f>
        <v>#N/A</v>
      </c>
      <c r="AY179" s="38" t="e">
        <f>IF(AY16="",NA(),IFERROR(AY16*VLOOKUP(AY16,'各種計算式等（配付時非表示）'!$E$3:$H$1003,3,TRUE)+VLOOKUP(AY16,'各種計算式等（配付時非表示）'!$E$3:$H$1003,4,TRUE)+0.0000000001,"-"))</f>
        <v>#N/A</v>
      </c>
      <c r="AZ179" s="38" t="e">
        <f>IF(AZ16="",NA(),IFERROR(AZ16*VLOOKUP(AZ16,'各種計算式等（配付時非表示）'!$E$3:$H$1003,3,TRUE)+VLOOKUP(AZ16,'各種計算式等（配付時非表示）'!$E$3:$H$1003,4,TRUE)+0.0000000001,"-"))</f>
        <v>#N/A</v>
      </c>
      <c r="BA179" s="38" t="e">
        <f>IF(BA16="",NA(),IFERROR(BA16*VLOOKUP(BA16,'各種計算式等（配付時非表示）'!$E$3:$H$1003,3,TRUE)+VLOOKUP(BA16,'各種計算式等（配付時非表示）'!$E$3:$H$1003,4,TRUE)+0.0000000001,"-"))</f>
        <v>#N/A</v>
      </c>
      <c r="BB179" s="38" t="e">
        <f>IF(BB16="",NA(),IFERROR(BB16*VLOOKUP(BB16,'各種計算式等（配付時非表示）'!$E$3:$H$1003,3,TRUE)+VLOOKUP(BB16,'各種計算式等（配付時非表示）'!$E$3:$H$1003,4,TRUE)+0.0000000001,"-"))</f>
        <v>#N/A</v>
      </c>
      <c r="BC179" s="38" t="e">
        <f>IF(BC16="",NA(),IFERROR(BC16*VLOOKUP(BC16,'各種計算式等（配付時非表示）'!$E$3:$H$1003,3,TRUE)+VLOOKUP(BC16,'各種計算式等（配付時非表示）'!$E$3:$H$1003,4,TRUE)+0.0000000001,"-"))</f>
        <v>#N/A</v>
      </c>
      <c r="BD179" s="38" t="e">
        <f>IF(BD16="",NA(),IFERROR(BD16*VLOOKUP(BD16,'各種計算式等（配付時非表示）'!$E$3:$H$1003,3,TRUE)+VLOOKUP(BD16,'各種計算式等（配付時非表示）'!$E$3:$H$1003,4,TRUE)+0.0000000001,"-"))</f>
        <v>#N/A</v>
      </c>
      <c r="BE179" s="69" t="e">
        <f>IF(BE16="",NA(),IFERROR(BE16*VLOOKUP(BE16,'各種計算式等（配付時非表示）'!$E$3:$H$1003,3,TRUE)+VLOOKUP(BE16,'各種計算式等（配付時非表示）'!$E$3:$H$1003,4,TRUE)+0.0000000001,"-"))</f>
        <v>#N/A</v>
      </c>
      <c r="BF179" t="s">
        <v>131</v>
      </c>
    </row>
    <row r="180" spans="1:58" ht="18" hidden="1" customHeight="1">
      <c r="B180" s="102"/>
      <c r="C180" s="102"/>
      <c r="D180" s="103"/>
      <c r="E180" s="103"/>
      <c r="F180" s="103"/>
      <c r="G180" s="103"/>
      <c r="H180" s="103"/>
      <c r="I180" s="103"/>
      <c r="J180" s="103"/>
      <c r="K180" s="103"/>
      <c r="L180" s="103"/>
      <c r="M180" s="103"/>
      <c r="N180" s="103"/>
      <c r="O180" s="103"/>
      <c r="P180" s="103"/>
      <c r="Q180" s="103"/>
      <c r="R180" s="103"/>
      <c r="S180" s="104"/>
      <c r="T180" s="104"/>
      <c r="U180" s="104"/>
      <c r="V180" s="104"/>
      <c r="W180" s="104"/>
      <c r="X180" s="104"/>
      <c r="Y180" s="104"/>
      <c r="Z180" s="104"/>
      <c r="AA180" s="104"/>
      <c r="AB180" s="104"/>
      <c r="AC180" s="104"/>
      <c r="AD180" s="104"/>
      <c r="AE180" s="104"/>
      <c r="AF180" s="104"/>
      <c r="AG180" s="104"/>
      <c r="AH180" s="104"/>
      <c r="AI180" s="104"/>
      <c r="AJ180" s="104"/>
      <c r="AK180" s="104"/>
      <c r="AL180" s="104"/>
      <c r="AM180" s="104"/>
      <c r="AN180" s="104"/>
      <c r="AO180" s="104"/>
      <c r="AP180" s="104"/>
      <c r="AQ180" s="104"/>
      <c r="AR180" s="104"/>
      <c r="AS180" s="104"/>
      <c r="AT180" s="104"/>
      <c r="AU180" s="104"/>
      <c r="AV180" s="104"/>
      <c r="AW180" s="104"/>
      <c r="AX180" s="104"/>
      <c r="AY180" s="104"/>
      <c r="AZ180" s="104"/>
      <c r="BA180" s="104"/>
      <c r="BB180" s="104"/>
      <c r="BC180" s="104"/>
      <c r="BD180" s="104"/>
      <c r="BE180" s="104"/>
    </row>
    <row r="181" spans="1:58" ht="19.5" hidden="1" customHeight="1">
      <c r="A181" t="s">
        <v>240</v>
      </c>
    </row>
    <row r="182" spans="1:58" ht="19.5" hidden="1" customHeight="1"/>
    <row r="183" spans="1:58" s="1" customFormat="1" ht="20.100000000000001" hidden="1" customHeight="1">
      <c r="A183" s="101"/>
      <c r="B183" s="99" t="s">
        <v>39</v>
      </c>
      <c r="C183" s="99" t="s">
        <v>132</v>
      </c>
      <c r="D183" s="197" t="s">
        <v>239</v>
      </c>
      <c r="E183" s="197"/>
      <c r="F183" s="197"/>
      <c r="G183" s="197"/>
      <c r="H183" s="197"/>
      <c r="I183" s="197"/>
      <c r="J183" s="197"/>
      <c r="K183" s="197"/>
      <c r="L183" s="197"/>
      <c r="M183" s="197"/>
      <c r="N183" s="197"/>
      <c r="O183" s="197"/>
      <c r="P183" s="197"/>
      <c r="Q183" s="197"/>
      <c r="R183" s="197"/>
      <c r="S183" s="101" t="e">
        <f>#REF!</f>
        <v>#REF!</v>
      </c>
      <c r="T183" s="197" t="e">
        <f>#REF!</f>
        <v>#REF!</v>
      </c>
      <c r="U183" s="197" t="e">
        <f>#REF!</f>
        <v>#REF!</v>
      </c>
      <c r="V183" s="197" t="e">
        <f>#REF!</f>
        <v>#REF!</v>
      </c>
      <c r="W183" s="197" t="e">
        <f>#REF!</f>
        <v>#REF!</v>
      </c>
      <c r="X183" s="197"/>
      <c r="Y183" s="197"/>
      <c r="Z183" s="197"/>
      <c r="AA183" s="230" t="s">
        <v>258</v>
      </c>
      <c r="AB183" s="101" t="e">
        <f>#REF!</f>
        <v>#REF!</v>
      </c>
      <c r="AC183" s="197" t="e">
        <f>#REF!</f>
        <v>#REF!</v>
      </c>
      <c r="AD183" s="197" t="e">
        <f>#REF!</f>
        <v>#REF!</v>
      </c>
      <c r="AE183" s="197" t="e">
        <f>#REF!</f>
        <v>#REF!</v>
      </c>
      <c r="AF183" s="197" t="e">
        <f>#REF!</f>
        <v>#REF!</v>
      </c>
      <c r="AG183" s="197"/>
      <c r="AH183" s="197"/>
      <c r="AI183" s="197"/>
      <c r="AJ183" s="197"/>
      <c r="AK183" s="197"/>
      <c r="AL183" s="197"/>
      <c r="AM183" s="197"/>
      <c r="AN183" s="197"/>
      <c r="AO183" s="197"/>
      <c r="AP183" s="197"/>
      <c r="AQ183" s="197"/>
      <c r="AR183" s="197"/>
      <c r="AS183" s="197"/>
      <c r="AT183" s="197"/>
      <c r="AU183" s="197"/>
      <c r="AV183" s="5"/>
      <c r="AW183" s="5"/>
      <c r="AX183" s="5"/>
      <c r="AY183" s="5"/>
      <c r="AZ183" s="5"/>
      <c r="BA183" s="5"/>
      <c r="BB183" s="5"/>
      <c r="BC183" s="5"/>
      <c r="BD183" s="5"/>
    </row>
    <row r="184" spans="1:58" s="1" customFormat="1" ht="20.100000000000001" hidden="1" customHeight="1">
      <c r="A184" s="101"/>
      <c r="B184" s="99"/>
      <c r="C184" s="99"/>
      <c r="D184" s="197" t="s">
        <v>57</v>
      </c>
      <c r="E184" s="197"/>
      <c r="F184" s="197"/>
      <c r="G184" s="197"/>
      <c r="H184" s="197"/>
      <c r="I184" s="197"/>
      <c r="J184" s="197"/>
      <c r="K184" s="197"/>
      <c r="L184" s="197"/>
      <c r="M184" s="197"/>
      <c r="N184" s="197"/>
      <c r="O184" s="197"/>
      <c r="P184" s="197"/>
      <c r="Q184" s="197"/>
      <c r="R184" s="197"/>
      <c r="S184" s="180" t="e">
        <f>#REF!</f>
        <v>#REF!</v>
      </c>
      <c r="T184" s="181" t="e">
        <f>#REF!</f>
        <v>#REF!</v>
      </c>
      <c r="U184" s="181" t="e">
        <f>#REF!</f>
        <v>#REF!</v>
      </c>
      <c r="V184" s="181" t="e">
        <f>#REF!</f>
        <v>#REF!</v>
      </c>
      <c r="W184" s="181" t="e">
        <f>#REF!</f>
        <v>#REF!</v>
      </c>
      <c r="X184" s="197"/>
      <c r="Y184" s="197"/>
      <c r="Z184" s="197"/>
      <c r="AA184" s="230"/>
      <c r="AB184" s="180" t="e">
        <f>IF(#REF!="",NA(),IF(AB183&lt;=$B$136,#REF!*$D$139/100,IF(AB183&lt;=$C$136,#REF!*$E$139/100,IF(AB183&lt;=$D$136,#REF!*$F$139/100,IF(AB183&lt;=$E$136,#REF!*$G$139/100,IF(AB183&lt;=$F$136,#REF!*$H$139/100,IF(AB183&lt;=$G$136,#REF!*$I$139/100,IF(AB183&lt;=$H$136,#REF!*$J$139/100,IF(AB183&lt;=$I$136,#REF!*$K$139/100,IF(AB183&lt;=$J$136,#REF!*$L$139/100,IF(AB183&lt;=$K$136,#REF!*$M$139/100,#REF!*$N$139/100)))))))))))</f>
        <v>#REF!</v>
      </c>
      <c r="AC184" s="180" t="e">
        <f>IF(#REF!="",NA(),IF(AC183&lt;=$B$136,#REF!*$D$139/100,IF(AC183&lt;=$C$136,#REF!*$E$139/100,IF(AC183&lt;=$D$136,#REF!*$F$139/100,IF(AC183&lt;=$E$136,#REF!*$G$139/100,IF(AC183&lt;=$F$136,#REF!*$H$139/100,IF(AC183&lt;=$G$136,#REF!*$I$139/100,IF(AC183&lt;=$H$136,#REF!*$J$139/100,IF(AC183&lt;=$I$136,#REF!*$K$139/100,IF(AC183&lt;=$J$136,#REF!*$L$139/100,IF(AC183&lt;=$K$136,#REF!*$M$139/100,#REF!*$N$139/100)))))))))))</f>
        <v>#REF!</v>
      </c>
      <c r="AD184" s="180" t="e">
        <f>IF(#REF!="",NA(),IF(AD183&lt;=$B$136,#REF!*$D$139/100,IF(AD183&lt;=$C$136,#REF!*$E$139/100,IF(AD183&lt;=$D$136,#REF!*$F$139/100,IF(AD183&lt;=$E$136,#REF!*$G$139/100,IF(AD183&lt;=$F$136,#REF!*$H$139/100,IF(AD183&lt;=$G$136,#REF!*$I$139/100,IF(AD183&lt;=$H$136,#REF!*$J$139/100,IF(AD183&lt;=$I$136,#REF!*$K$139/100,IF(AD183&lt;=$J$136,#REF!*$L$139/100,IF(AD183&lt;=$K$136,#REF!*$M$139/100,#REF!*$N$139/100)))))))))))</f>
        <v>#REF!</v>
      </c>
      <c r="AE184" s="180" t="e">
        <f>IF(#REF!="",NA(),IF(AE183&lt;=$B$136,#REF!*$D$139/100,IF(AE183&lt;=$C$136,#REF!*$E$139/100,IF(AE183&lt;=$D$136,#REF!*$F$139/100,IF(AE183&lt;=$E$136,#REF!*$G$139/100,IF(AE183&lt;=$F$136,#REF!*$H$139/100,IF(AE183&lt;=$G$136,#REF!*$I$139/100,IF(AE183&lt;=$H$136,#REF!*$J$139/100,IF(AE183&lt;=$I$136,#REF!*$K$139/100,IF(AE183&lt;=$J$136,#REF!*$L$139/100,IF(AE183&lt;=$K$136,#REF!*$M$139/100,#REF!*$N$139/100)))))))))))</f>
        <v>#REF!</v>
      </c>
      <c r="AF184" s="180" t="e">
        <f>IF(#REF!="",NA(),IF(AF183&lt;=$B$136,#REF!*$D$139/100,IF(AF183&lt;=$C$136,#REF!*$E$139/100,IF(AF183&lt;=$D$136,#REF!*$F$139/100,IF(AF183&lt;=$E$136,#REF!*$G$139/100,IF(AF183&lt;=$F$136,#REF!*$H$139/100,IF(AF183&lt;=$G$136,#REF!*$I$139/100,IF(AF183&lt;=$H$136,#REF!*$J$139/100,IF(AF183&lt;=$I$136,#REF!*$K$139/100,IF(AF183&lt;=$J$136,#REF!*$L$139/100,IF(AF183&lt;=$K$136,#REF!*$M$139/100,#REF!*$N$139/100)))))))))))</f>
        <v>#REF!</v>
      </c>
      <c r="AG184" s="197"/>
      <c r="AH184" s="197"/>
      <c r="AI184" s="197"/>
      <c r="AJ184" s="197"/>
      <c r="AK184" s="197"/>
      <c r="AL184" s="197"/>
      <c r="AM184" s="197"/>
      <c r="AN184" s="197"/>
      <c r="AO184" s="197"/>
      <c r="AP184" s="197"/>
      <c r="AQ184" s="197"/>
      <c r="AR184" s="197"/>
      <c r="AS184" s="197"/>
      <c r="AT184" s="197"/>
      <c r="AU184" s="197"/>
      <c r="AV184" s="5"/>
      <c r="AW184" s="5"/>
      <c r="AX184" s="5"/>
      <c r="AY184" s="5"/>
      <c r="AZ184" s="5"/>
      <c r="BA184" s="5"/>
      <c r="BB184" s="5"/>
      <c r="BC184" s="5"/>
      <c r="BD184" s="5"/>
    </row>
    <row r="185" spans="1:58" s="1" customFormat="1" ht="20.100000000000001" hidden="1" customHeight="1">
      <c r="A185" s="101"/>
      <c r="B185" s="99" t="s">
        <v>40</v>
      </c>
      <c r="C185" s="99" t="s">
        <v>133</v>
      </c>
      <c r="D185" s="197" t="s">
        <v>239</v>
      </c>
      <c r="E185" s="197"/>
      <c r="F185" s="197"/>
      <c r="G185" s="197"/>
      <c r="H185" s="197"/>
      <c r="I185" s="197"/>
      <c r="J185" s="197"/>
      <c r="K185" s="197"/>
      <c r="L185" s="197"/>
      <c r="M185" s="197"/>
      <c r="N185" s="197"/>
      <c r="O185" s="197"/>
      <c r="P185" s="197"/>
      <c r="Q185" s="197"/>
      <c r="R185" s="197"/>
      <c r="S185" s="101" t="e">
        <f>#REF!</f>
        <v>#REF!</v>
      </c>
      <c r="T185" s="197" t="e">
        <f>#REF!</f>
        <v>#REF!</v>
      </c>
      <c r="U185" s="197" t="e">
        <f>#REF!</f>
        <v>#REF!</v>
      </c>
      <c r="V185" s="197" t="e">
        <f>#REF!</f>
        <v>#REF!</v>
      </c>
      <c r="W185" s="197" t="e">
        <f>#REF!</f>
        <v>#REF!</v>
      </c>
      <c r="X185" s="197"/>
      <c r="Y185" s="197"/>
      <c r="Z185" s="197"/>
      <c r="AA185" s="230" t="s">
        <v>259</v>
      </c>
      <c r="AB185" s="101" t="e">
        <f>#REF!</f>
        <v>#REF!</v>
      </c>
      <c r="AC185" s="197" t="e">
        <f>#REF!</f>
        <v>#REF!</v>
      </c>
      <c r="AD185" s="197" t="e">
        <f>#REF!</f>
        <v>#REF!</v>
      </c>
      <c r="AE185" s="197" t="e">
        <f>#REF!</f>
        <v>#REF!</v>
      </c>
      <c r="AF185" s="197" t="e">
        <f>#REF!</f>
        <v>#REF!</v>
      </c>
      <c r="AG185" s="197"/>
      <c r="AH185" s="197"/>
      <c r="AI185" s="197"/>
      <c r="AJ185" s="197"/>
      <c r="AK185" s="197"/>
      <c r="AL185" s="197"/>
      <c r="AM185" s="197"/>
      <c r="AN185" s="197"/>
      <c r="AO185" s="197"/>
      <c r="AP185" s="197"/>
      <c r="AQ185" s="197"/>
      <c r="AR185" s="197"/>
      <c r="AS185" s="197"/>
      <c r="AT185" s="197"/>
      <c r="AU185" s="197"/>
      <c r="AV185" s="5"/>
      <c r="AW185" s="5"/>
      <c r="AX185" s="5"/>
      <c r="AY185" s="5"/>
      <c r="AZ185" s="5"/>
      <c r="BA185" s="5"/>
      <c r="BB185" s="5"/>
      <c r="BC185" s="5"/>
      <c r="BD185" s="5"/>
    </row>
    <row r="186" spans="1:58" s="1" customFormat="1" ht="20.100000000000001" hidden="1" customHeight="1">
      <c r="A186" s="101"/>
      <c r="B186" s="99"/>
      <c r="C186" s="99"/>
      <c r="D186" s="197" t="s">
        <v>57</v>
      </c>
      <c r="E186" s="197"/>
      <c r="F186" s="197"/>
      <c r="G186" s="197"/>
      <c r="H186" s="197"/>
      <c r="I186" s="197"/>
      <c r="J186" s="197"/>
      <c r="K186" s="197"/>
      <c r="L186" s="197"/>
      <c r="M186" s="197"/>
      <c r="N186" s="197"/>
      <c r="O186" s="197"/>
      <c r="P186" s="197"/>
      <c r="Q186" s="197"/>
      <c r="R186" s="197"/>
      <c r="S186" s="180" t="e">
        <f>#REF!</f>
        <v>#REF!</v>
      </c>
      <c r="T186" s="181" t="e">
        <f>#REF!</f>
        <v>#REF!</v>
      </c>
      <c r="U186" s="181" t="e">
        <f>#REF!</f>
        <v>#REF!</v>
      </c>
      <c r="V186" s="181" t="e">
        <f>#REF!</f>
        <v>#REF!</v>
      </c>
      <c r="W186" s="181" t="e">
        <f>#REF!</f>
        <v>#REF!</v>
      </c>
      <c r="X186" s="197"/>
      <c r="Y186" s="197"/>
      <c r="Z186" s="197"/>
      <c r="AA186" s="101"/>
      <c r="AB186" s="180" t="e">
        <f>IF(#REF!="",NA(),IF(AB185&lt;=$B$136,#REF!*$D$139/100,IF(AB185&lt;=$C$136,#REF!*$E$139/100,IF(AB185&lt;=$D$136,#REF!*$F$139/100,IF(AB185&lt;=$E$136,#REF!*$G$139/100,IF(AB185&lt;=$F$136,#REF!*$H$139/100,IF(AB185&lt;=$G$136,#REF!*$I$139/100,IF(AB185&lt;=$H$136,#REF!*$J$139/100,IF(AB185&lt;=$I$136,#REF!*$K$139/100,IF(AB185&lt;=$J$136,#REF!*$L$139/100,IF(AB185&lt;=$K$136,#REF!*$M$139/100,#REF!*$N$139/100)))))))))))</f>
        <v>#REF!</v>
      </c>
      <c r="AC186" s="180" t="e">
        <f>IF(#REF!="",NA(),IF(AC185&lt;=$B$136,#REF!*$D$139/100,IF(AC185&lt;=$C$136,#REF!*$E$139/100,IF(AC185&lt;=$D$136,#REF!*$F$139/100,IF(AC185&lt;=$E$136,#REF!*$G$139/100,IF(AC185&lt;=$F$136,#REF!*$H$139/100,IF(AC185&lt;=$G$136,#REF!*$I$139/100,IF(AC185&lt;=$H$136,#REF!*$J$139/100,IF(AC185&lt;=$I$136,#REF!*$K$139/100,IF(AC185&lt;=$J$136,#REF!*$L$139/100,IF(AC185&lt;=$K$136,#REF!*$M$139/100,#REF!*$N$139/100)))))))))))</f>
        <v>#REF!</v>
      </c>
      <c r="AD186" s="180" t="e">
        <f>IF(#REF!="",NA(),IF(AD185&lt;=$B$136,#REF!*$D$139/100,IF(AD185&lt;=$C$136,#REF!*$E$139/100,IF(AD185&lt;=$D$136,#REF!*$F$139/100,IF(AD185&lt;=$E$136,#REF!*$G$139/100,IF(AD185&lt;=$F$136,#REF!*$H$139/100,IF(AD185&lt;=$G$136,#REF!*$I$139/100,IF(AD185&lt;=$H$136,#REF!*$J$139/100,IF(AD185&lt;=$I$136,#REF!*$K$139/100,IF(AD185&lt;=$J$136,#REF!*$L$139/100,IF(AD185&lt;=$K$136,#REF!*$M$139/100,#REF!*$N$139/100)))))))))))</f>
        <v>#REF!</v>
      </c>
      <c r="AE186" s="180" t="e">
        <f>IF(#REF!="",NA(),IF(AE185&lt;=$B$136,#REF!*$D$139/100,IF(AE185&lt;=$C$136,#REF!*$E$139/100,IF(AE185&lt;=$D$136,#REF!*$F$139/100,IF(AE185&lt;=$E$136,#REF!*$G$139/100,IF(AE185&lt;=$F$136,#REF!*$H$139/100,IF(AE185&lt;=$G$136,#REF!*$I$139/100,IF(AE185&lt;=$H$136,#REF!*$J$139/100,IF(AE185&lt;=$I$136,#REF!*$K$139/100,IF(AE185&lt;=$J$136,#REF!*$L$139/100,IF(AE185&lt;=$K$136,#REF!*$M$139/100,#REF!*$N$139/100)))))))))))</f>
        <v>#REF!</v>
      </c>
      <c r="AF186" s="180" t="e">
        <f>IF(#REF!="",NA(),IF(AF185&lt;=$B$136,#REF!*$D$139/100,IF(AF185&lt;=$C$136,#REF!*$E$139/100,IF(AF185&lt;=$D$136,#REF!*$F$139/100,IF(AF185&lt;=$E$136,#REF!*$G$139/100,IF(AF185&lt;=$F$136,#REF!*$H$139/100,IF(AF185&lt;=$G$136,#REF!*$I$139/100,IF(AF185&lt;=$H$136,#REF!*$J$139/100,IF(AF185&lt;=$I$136,#REF!*$K$139/100,IF(AF185&lt;=$J$136,#REF!*$L$139/100,IF(AF185&lt;=$K$136,#REF!*$M$139/100,#REF!*$N$139/100)))))))))))</f>
        <v>#REF!</v>
      </c>
      <c r="AG186" s="197"/>
      <c r="AH186" s="197"/>
      <c r="AI186" s="197"/>
      <c r="AJ186" s="197"/>
      <c r="AK186" s="197"/>
      <c r="AL186" s="197"/>
      <c r="AM186" s="197"/>
      <c r="AN186" s="197"/>
      <c r="AO186" s="197"/>
      <c r="AP186" s="197"/>
      <c r="AQ186" s="197"/>
      <c r="AR186" s="197"/>
      <c r="AS186" s="197"/>
      <c r="AT186" s="197"/>
      <c r="AU186" s="197"/>
      <c r="AV186" s="5"/>
      <c r="AW186" s="5"/>
      <c r="AX186" s="5"/>
      <c r="AY186" s="5"/>
      <c r="AZ186" s="5"/>
      <c r="BA186" s="5"/>
      <c r="BB186" s="5"/>
      <c r="BC186" s="5"/>
      <c r="BD186" s="5"/>
    </row>
    <row r="187" spans="1:58" s="1" customFormat="1" ht="20.100000000000001" hidden="1" customHeight="1">
      <c r="B187" s="100"/>
      <c r="C187" s="100"/>
      <c r="D187" s="5"/>
      <c r="E187" s="5"/>
      <c r="F187" s="5"/>
      <c r="G187" s="5"/>
      <c r="H187" s="5"/>
      <c r="I187" s="5"/>
      <c r="J187" s="5"/>
      <c r="K187" s="5"/>
      <c r="L187" s="5"/>
      <c r="M187" s="5"/>
      <c r="N187" s="5"/>
      <c r="O187" s="5"/>
      <c r="P187" s="5"/>
      <c r="Q187" s="5"/>
      <c r="R187" s="5"/>
      <c r="T187" s="5"/>
      <c r="U187" s="5"/>
      <c r="V187" s="5"/>
      <c r="W187" s="5"/>
      <c r="X187" s="5"/>
      <c r="Y187" s="5"/>
      <c r="Z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row>
    <row r="188" spans="1:58" s="1" customFormat="1" ht="20.100000000000001" hidden="1" customHeight="1" thickBot="1">
      <c r="A188" s="1" t="s">
        <v>136</v>
      </c>
      <c r="B188" s="100"/>
      <c r="C188" s="100"/>
      <c r="D188" s="5"/>
      <c r="E188" s="5"/>
      <c r="F188" s="5"/>
      <c r="G188" s="5"/>
      <c r="H188" s="5"/>
      <c r="I188" s="5"/>
      <c r="J188" s="5"/>
      <c r="K188" s="5"/>
      <c r="L188" s="5"/>
      <c r="M188" s="5"/>
      <c r="N188" s="5"/>
      <c r="O188" s="5"/>
      <c r="P188" s="5"/>
      <c r="Q188" s="5"/>
      <c r="R188" s="5"/>
      <c r="T188" s="5"/>
      <c r="U188" s="5"/>
      <c r="V188" s="5"/>
      <c r="W188" s="5"/>
      <c r="X188" s="5"/>
      <c r="Y188" s="5"/>
      <c r="Z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row>
    <row r="189" spans="1:58" s="1" customFormat="1" ht="20.100000000000001" hidden="1" customHeight="1" thickBot="1">
      <c r="A189" s="30" t="s">
        <v>100</v>
      </c>
      <c r="B189" s="5"/>
      <c r="C189" s="5"/>
      <c r="D189" s="5"/>
      <c r="E189" s="145" t="e">
        <f>LOOKUP(10^10,D15:BE15)</f>
        <v>#N/A</v>
      </c>
      <c r="F189" s="145"/>
      <c r="G189" s="5" t="s">
        <v>99</v>
      </c>
      <c r="H189" s="145"/>
      <c r="I189" s="145" t="e">
        <f>LOOKUP(10^10,D12:BE12)</f>
        <v>#N/A</v>
      </c>
      <c r="J189" s="5"/>
      <c r="K189" s="5"/>
      <c r="L189" s="5"/>
      <c r="M189" s="467" t="s">
        <v>4</v>
      </c>
      <c r="N189" s="468"/>
      <c r="O189" s="468"/>
      <c r="P189" s="469"/>
      <c r="Q189" s="70" t="e">
        <f>E192-E193</f>
        <v>#N/A</v>
      </c>
      <c r="R189" s="470" t="e">
        <f>IF(Q189&gt;=1.9,"甘口", IF(Q189&gt;=1.1,"やや甘口", IF(Q189&gt;=0.3,"やや辛口","辛口")))</f>
        <v>#N/A</v>
      </c>
      <c r="S189" s="471"/>
      <c r="T189" s="465" t="e">
        <f>IF(Q189-#REF!&gt;0.8,"目標よりも甘口",IF(Q189-#REF!&gt;0.4,"目標よりもやや甘口",IF(Q189-#REF!&lt;-0.8,"目標よりも辛口",IF(Q189-#REF!&lt;-0.4,"目標よりもやや辛口", "概ね目標どおり"))))</f>
        <v>#N/A</v>
      </c>
      <c r="U189" s="465"/>
      <c r="V189" s="466"/>
      <c r="W189" s="467" t="s">
        <v>139</v>
      </c>
      <c r="X189" s="468"/>
      <c r="Y189" s="468"/>
      <c r="Z189" s="469"/>
      <c r="AA189" s="70" t="e">
        <f>E191/E193</f>
        <v>#N/A</v>
      </c>
      <c r="AB189" s="470" t="e">
        <f>IF(AA189="","",IF(AA189&lt;1,"冷やに適する傾向",IF(AA189&gt;1,"燗に適する傾向","－")))</f>
        <v>#N/A</v>
      </c>
      <c r="AC189" s="471"/>
      <c r="AD189" s="465" t="e">
        <f>IF(AA189-#REF!&gt;0.5,"目標よりも燗に適する",IF(AA189-#REF!&lt;-0.5,"目標よりも冷やに適する",""))</f>
        <v>#N/A</v>
      </c>
      <c r="AE189" s="465"/>
      <c r="AF189" s="466"/>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row>
    <row r="190" spans="1:58" s="1" customFormat="1" ht="20.100000000000001" hidden="1" customHeight="1" thickBot="1">
      <c r="A190" s="30" t="s">
        <v>37</v>
      </c>
      <c r="B190" s="5"/>
      <c r="C190" s="5"/>
      <c r="D190" s="5"/>
      <c r="E190" s="145" t="e">
        <f>LOOKUP(10^10,S16:BE16)</f>
        <v>#N/A</v>
      </c>
      <c r="F190" s="145"/>
      <c r="G190" s="5" t="s">
        <v>98</v>
      </c>
      <c r="H190" s="145"/>
      <c r="I190" s="145" t="e">
        <f>LOOKUP(10^10,D35:BE35)</f>
        <v>#N/A</v>
      </c>
      <c r="J190" s="5"/>
      <c r="K190" s="5"/>
      <c r="L190" s="5"/>
      <c r="M190" s="467" t="s">
        <v>138</v>
      </c>
      <c r="N190" s="468"/>
      <c r="O190" s="468"/>
      <c r="P190" s="469"/>
      <c r="Q190" s="70" t="e">
        <f>(E193+E191+E192)*E190/10</f>
        <v>#N/A</v>
      </c>
      <c r="R190" s="470" t="e">
        <f>IF(Q190&gt;8,"濃醇", IF(Q190&gt;6.5,"やや濃醇", IF(Q190&gt;5,"やや軽快","軽快")))</f>
        <v>#N/A</v>
      </c>
      <c r="S190" s="471"/>
      <c r="T190" s="465" t="e">
        <f>IF(Q190-#REF!&gt;1.5,"目標よりも濃醇",IF(Q190-#REF!&gt;0.75,"目標よりもやや濃醇",IF(Q190-#REF!&lt;-1.5,"目標よりも軽快",IF(Q190-#REF!&lt;-0.75,"目標よりもやや軽快", "概ね目標どおり"))))</f>
        <v>#N/A</v>
      </c>
      <c r="U190" s="465"/>
      <c r="V190" s="466"/>
      <c r="W190" s="467" t="s">
        <v>140</v>
      </c>
      <c r="X190" s="468"/>
      <c r="Y190" s="468"/>
      <c r="Z190" s="469"/>
      <c r="AA190" s="70" t="e">
        <f>E192/E193</f>
        <v>#N/A</v>
      </c>
      <c r="AB190" s="470" t="e">
        <f>IF(AA190="","",IF(AA190&lt;1,"燗に適する傾向",IF(AA190&gt;1,"冷やに適する傾向","－")))</f>
        <v>#N/A</v>
      </c>
      <c r="AC190" s="471"/>
      <c r="AD190" s="465" t="e">
        <f>IF(AA190-#REF!&gt;0.5,"目標よりも冷やに適する",IF(AA190-#REF!&lt;-0.5,"目標よりも燗に適する",""))</f>
        <v>#N/A</v>
      </c>
      <c r="AE190" s="465"/>
      <c r="AF190" s="466"/>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row>
    <row r="191" spans="1:58" s="1" customFormat="1" ht="20.100000000000001" hidden="1" customHeight="1" thickBot="1">
      <c r="A191" s="30" t="s">
        <v>38</v>
      </c>
      <c r="B191" s="5"/>
      <c r="C191" s="5"/>
      <c r="D191" s="5"/>
      <c r="E191" s="145" t="e">
        <f>LOOKUP(10^10,S18:BE18)</f>
        <v>#N/A</v>
      </c>
      <c r="F191" s="145"/>
      <c r="G191" s="5" t="s">
        <v>97</v>
      </c>
      <c r="H191" s="145"/>
      <c r="I191" s="145" t="e">
        <f>LOOKUP(10^10,D36:BE36)</f>
        <v>#N/A</v>
      </c>
      <c r="J191" s="5"/>
      <c r="K191" s="5"/>
      <c r="L191" s="5"/>
      <c r="M191" s="467" t="s">
        <v>112</v>
      </c>
      <c r="N191" s="468"/>
      <c r="O191" s="468"/>
      <c r="P191" s="469"/>
      <c r="Q191" s="70" t="e">
        <f>(E191+E192-E193)/E193</f>
        <v>#N/A</v>
      </c>
      <c r="R191" s="470" t="e">
        <f>IF(Q191&gt;1.5,"やわらかい", IF(Q191&gt;1,"やややわらかい", IF(Q191&gt;0.5,"ややキレがある","キレがある")))</f>
        <v>#N/A</v>
      </c>
      <c r="S191" s="471"/>
      <c r="T191" s="465" t="e">
        <f>IF(Q191-#REF!&gt;0.5,"目標よりもやわらかい",IF(Q191-#REF!&gt;0.25,"目標よりもやややわらかい",IF(Q191-#REF!&lt;-0.5,"目標よりもキレがある",IF(Q191-#REF!&lt;-0.25,"目標よりもややキレがある", "概ね目標どおり"))))</f>
        <v>#N/A</v>
      </c>
      <c r="U191" s="465"/>
      <c r="V191" s="466"/>
      <c r="W191" s="42"/>
      <c r="X191" s="42"/>
      <c r="Y191" s="42"/>
      <c r="Z191" s="42"/>
      <c r="AA191" s="42"/>
      <c r="AB191" s="42"/>
      <c r="AC191" s="42"/>
      <c r="AD191" s="40" t="s">
        <v>228</v>
      </c>
      <c r="AE191" s="42"/>
      <c r="AF191" s="42"/>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row>
    <row r="192" spans="1:58" s="1" customFormat="1" ht="20.100000000000001" hidden="1" customHeight="1">
      <c r="A192" s="32" t="s">
        <v>35</v>
      </c>
      <c r="B192" s="32"/>
      <c r="C192" s="32"/>
      <c r="D192" s="32"/>
      <c r="E192" s="146" t="e">
        <f>INDEX(S19:BE19,MATCH(MAX(S19:BE19)+1,S19:BE19,1))</f>
        <v>#N/A</v>
      </c>
      <c r="F192" s="147"/>
      <c r="G192" s="148"/>
      <c r="H192" s="148"/>
      <c r="I192" s="148"/>
      <c r="P192" s="5"/>
      <c r="Q192" s="5"/>
      <c r="R192" s="5"/>
      <c r="T192" s="5"/>
      <c r="U192" s="5"/>
      <c r="V192" s="5"/>
      <c r="W192" s="5"/>
      <c r="X192" s="5"/>
      <c r="Y192" s="5"/>
      <c r="Z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row>
    <row r="193" spans="1:57" s="1" customFormat="1" ht="20.100000000000001" hidden="1" customHeight="1" thickBot="1">
      <c r="A193" s="30" t="s">
        <v>36</v>
      </c>
      <c r="B193" s="5"/>
      <c r="C193" s="5"/>
      <c r="D193" s="5"/>
      <c r="E193" s="149" t="e">
        <f>LOOKUP(10^10,S17:BE17)</f>
        <v>#N/A</v>
      </c>
      <c r="F193" s="145"/>
      <c r="G193" s="148"/>
      <c r="H193" s="148"/>
      <c r="I193" s="148"/>
      <c r="P193" s="5"/>
      <c r="Q193" s="5"/>
      <c r="R193" s="5"/>
      <c r="T193" s="5"/>
      <c r="U193" s="5"/>
      <c r="V193" s="5"/>
      <c r="W193" s="5"/>
      <c r="X193" s="5"/>
      <c r="Y193" s="5"/>
      <c r="Z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row>
    <row r="194" spans="1:57" s="1" customFormat="1" ht="20.100000000000001" hidden="1" customHeight="1" thickBot="1">
      <c r="A194" s="467" t="s">
        <v>57</v>
      </c>
      <c r="B194" s="468"/>
      <c r="C194" s="468"/>
      <c r="D194" s="469"/>
      <c r="E194" s="70" t="e">
        <f>LOOKUP(10^10,S133:BE133)</f>
        <v>#N/A</v>
      </c>
      <c r="F194" s="470" t="e">
        <f>IF(E194-#REF!&gt;2,"よく溶けている", IF(E194-#REF!&lt;-2,"あまり溶けていない","概ね目標通りに溶けている"))</f>
        <v>#N/A</v>
      </c>
      <c r="G194" s="473"/>
      <c r="H194" s="473"/>
      <c r="I194" s="474"/>
      <c r="P194" s="5"/>
      <c r="Q194" s="5"/>
      <c r="R194" s="5"/>
      <c r="T194" s="5"/>
      <c r="U194" s="5"/>
      <c r="V194" s="5"/>
      <c r="W194" s="5"/>
      <c r="X194" s="5"/>
      <c r="Y194" s="5"/>
      <c r="Z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row>
    <row r="195" spans="1:57" s="1" customFormat="1" ht="20.100000000000001" hidden="1" customHeight="1">
      <c r="A195" s="30" t="s">
        <v>134</v>
      </c>
      <c r="B195" s="5"/>
      <c r="C195" s="5"/>
      <c r="D195" s="5"/>
      <c r="E195" s="33"/>
      <c r="F195" s="5"/>
      <c r="G195" s="30"/>
      <c r="H195" s="5"/>
      <c r="I195" s="5"/>
      <c r="J195" s="5"/>
      <c r="K195" s="5"/>
      <c r="L195" s="5"/>
      <c r="M195" s="5"/>
      <c r="N195" s="5"/>
      <c r="O195" s="5"/>
      <c r="P195" s="5"/>
      <c r="Q195" s="5"/>
      <c r="R195" s="5"/>
      <c r="T195" s="5"/>
      <c r="U195" s="5"/>
      <c r="V195" s="5"/>
      <c r="W195" s="5"/>
      <c r="X195" s="5"/>
      <c r="Y195" s="5"/>
      <c r="Z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row>
    <row r="196" spans="1:57" s="1" customFormat="1" ht="20.25" hidden="1" customHeight="1">
      <c r="A196" s="30" t="s">
        <v>137</v>
      </c>
      <c r="C196" s="5"/>
      <c r="D196" s="5"/>
      <c r="E196" s="5"/>
      <c r="F196" s="5"/>
      <c r="G196" s="5"/>
      <c r="H196" s="5"/>
      <c r="I196" s="5"/>
      <c r="J196" s="5"/>
      <c r="K196" s="5"/>
      <c r="L196" s="5"/>
      <c r="M196" s="5"/>
      <c r="N196" s="5"/>
      <c r="O196" s="5"/>
      <c r="P196" s="5"/>
      <c r="Q196" s="5"/>
      <c r="R196" s="5"/>
      <c r="S196" s="5"/>
      <c r="T196" s="5"/>
      <c r="U196" s="5"/>
      <c r="V196" s="5"/>
      <c r="W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row>
    <row r="197" spans="1:57" s="1" customFormat="1" ht="20.25" hidden="1" customHeight="1">
      <c r="A197" s="30"/>
      <c r="C197" s="5"/>
      <c r="D197" s="5"/>
      <c r="E197" s="5"/>
      <c r="F197" s="5"/>
      <c r="G197" s="5"/>
      <c r="H197" s="5"/>
      <c r="I197" s="5"/>
      <c r="J197" s="5"/>
      <c r="K197" s="5"/>
      <c r="L197" s="5"/>
      <c r="M197" s="5"/>
      <c r="N197" s="5"/>
      <c r="O197" s="5"/>
      <c r="P197" s="5"/>
      <c r="Q197" s="5"/>
      <c r="R197" s="5"/>
      <c r="S197" s="5"/>
      <c r="T197" s="5"/>
      <c r="U197" s="5"/>
      <c r="V197" s="5"/>
      <c r="W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row>
    <row r="198" spans="1:57" s="1" customFormat="1" ht="20.25" hidden="1" customHeight="1">
      <c r="A198" s="1" t="s">
        <v>229</v>
      </c>
      <c r="B198" s="5"/>
      <c r="C198" s="5"/>
      <c r="D198" s="5"/>
      <c r="E198" s="5"/>
      <c r="F198" s="5"/>
      <c r="G198" s="30"/>
      <c r="H198" s="5"/>
      <c r="I198" s="5"/>
      <c r="J198" s="5"/>
      <c r="K198" s="33"/>
      <c r="L198" s="5"/>
      <c r="M198" s="5"/>
      <c r="N198" s="5"/>
      <c r="O198" s="5"/>
      <c r="P198" s="5"/>
      <c r="Q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row>
    <row r="199" spans="1:57" s="1" customFormat="1" ht="20.25" hidden="1" customHeight="1">
      <c r="A199" s="345" t="s">
        <v>121</v>
      </c>
      <c r="B199" s="346"/>
      <c r="C199" s="347"/>
      <c r="D199" s="450" t="e">
        <f>IF(I117="",NA(),ROUND(1443/(1443+I117),4))</f>
        <v>#N/A</v>
      </c>
      <c r="E199" s="451"/>
      <c r="F199" s="452"/>
      <c r="G199" s="450" t="e">
        <f>IF(L117="",NA(),ROUND(1443/(1443+L117),4))</f>
        <v>#N/A</v>
      </c>
      <c r="H199" s="451"/>
      <c r="I199" s="452"/>
      <c r="J199" s="450" t="e">
        <f>IF(O117="",NA(),ROUND(1443/(1443+O117),4))</f>
        <v>#N/A</v>
      </c>
      <c r="K199" s="451"/>
      <c r="L199" s="452"/>
      <c r="M199" s="5"/>
      <c r="N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7" ht="20.25" hidden="1" customHeight="1">
      <c r="A200" s="345" t="s">
        <v>122</v>
      </c>
      <c r="B200" s="346"/>
      <c r="C200" s="347"/>
      <c r="D200" s="450" t="e">
        <f>IF(I116="",NA(),IFERROR(I116*VLOOKUP(I116,'各種計算式等（配付時非表示）'!$E$3:$H$1003,3,TRUE)+VLOOKUP(I116,'各種計算式等（配付時非表示）'!$E$3:$H$1003,4,TRUE)+0.0000000001,"-"))</f>
        <v>#N/A</v>
      </c>
      <c r="E200" s="451"/>
      <c r="F200" s="452"/>
      <c r="G200" s="450" t="e">
        <f>IF(L116="",NA(),IFERROR(L116*VLOOKUP(L116,'各種計算式等（配付時非表示）'!$E$3:$H$1003,3,TRUE)+VLOOKUP(L116,'各種計算式等（配付時非表示）'!$E$3:$H$1003,4,TRUE)+0.0000000001,"-"))</f>
        <v>#N/A</v>
      </c>
      <c r="H200" s="451"/>
      <c r="I200" s="452"/>
      <c r="J200" s="450" t="e">
        <f>IF(O116="",NA(),IFERROR(O116*VLOOKUP(O116,'各種計算式等（配付時非表示）'!$E$3:$H$1003,3,TRUE)+VLOOKUP(O116,'各種計算式等（配付時非表示）'!$E$3:$H$1003,4,TRUE)+0.0000000001,"-"))</f>
        <v>#N/A</v>
      </c>
      <c r="K200" s="451"/>
      <c r="L200" s="452"/>
      <c r="AH200"/>
      <c r="AI200"/>
      <c r="AJ200"/>
      <c r="AK200"/>
      <c r="AL200" s="46"/>
      <c r="AM200"/>
      <c r="AN200"/>
      <c r="AO200"/>
      <c r="AP200"/>
      <c r="AQ200"/>
      <c r="AR200"/>
      <c r="AS200"/>
      <c r="AT200"/>
      <c r="AU200"/>
      <c r="AV200"/>
      <c r="AW200"/>
      <c r="AX200"/>
      <c r="BC200"/>
      <c r="BD200"/>
      <c r="BE200"/>
    </row>
    <row r="201" spans="1:57" ht="20.25" hidden="1" customHeight="1">
      <c r="A201" s="345" t="s">
        <v>3</v>
      </c>
      <c r="B201" s="346"/>
      <c r="C201" s="347"/>
      <c r="D201" s="462" t="str">
        <f>IFERROR(ROUNDDOWN((D199-D200)*260+0.21,1),"")</f>
        <v/>
      </c>
      <c r="E201" s="463"/>
      <c r="F201" s="464"/>
      <c r="G201" s="462" t="str">
        <f t="shared" ref="G201" si="87">IFERROR(ROUNDDOWN((G199-G200)*260+0.21,1),"")</f>
        <v/>
      </c>
      <c r="H201" s="463"/>
      <c r="I201" s="464"/>
      <c r="J201" s="462" t="str">
        <f t="shared" ref="J201" si="88">IFERROR(ROUNDDOWN((J199-J200)*260+0.21,1),"")</f>
        <v/>
      </c>
      <c r="K201" s="463"/>
      <c r="L201" s="464"/>
      <c r="AH201"/>
      <c r="AI201"/>
      <c r="AJ201"/>
      <c r="AK201"/>
      <c r="AL201" s="46"/>
      <c r="AM201"/>
      <c r="AN201"/>
      <c r="AO201"/>
      <c r="AP201"/>
      <c r="AQ201"/>
      <c r="AR201"/>
      <c r="AS201"/>
      <c r="AT201"/>
      <c r="AU201"/>
      <c r="AV201"/>
      <c r="AW201"/>
      <c r="AX201"/>
      <c r="BC201"/>
      <c r="BD201"/>
      <c r="BE201"/>
    </row>
    <row r="202" spans="1:57" ht="20.25" hidden="1" customHeight="1">
      <c r="A202" s="345" t="s">
        <v>145</v>
      </c>
      <c r="B202" s="346"/>
      <c r="C202" s="347"/>
      <c r="D202" s="459" t="e">
        <f>D201+I116*1.5848</f>
        <v>#VALUE!</v>
      </c>
      <c r="E202" s="460"/>
      <c r="F202" s="461"/>
      <c r="G202" s="459" t="e">
        <f>G201+L116*1.5848</f>
        <v>#VALUE!</v>
      </c>
      <c r="H202" s="460"/>
      <c r="I202" s="461"/>
      <c r="J202" s="459" t="e">
        <f>J201+O116*1.5848</f>
        <v>#VALUE!</v>
      </c>
      <c r="K202" s="460"/>
      <c r="L202" s="461"/>
      <c r="AH202"/>
      <c r="AI202"/>
      <c r="AJ202"/>
      <c r="AK202"/>
      <c r="AL202" s="46"/>
      <c r="AM202"/>
      <c r="AN202"/>
      <c r="AO202"/>
      <c r="AP202"/>
      <c r="AQ202"/>
      <c r="AR202"/>
      <c r="AS202"/>
      <c r="AT202"/>
      <c r="AU202"/>
      <c r="AV202"/>
      <c r="AW202"/>
      <c r="AX202"/>
      <c r="BC202"/>
      <c r="BD202"/>
      <c r="BE202"/>
    </row>
    <row r="203" spans="1:57" ht="20.25" hidden="1" customHeight="1">
      <c r="A203" s="345" t="s">
        <v>230</v>
      </c>
      <c r="B203" s="346"/>
      <c r="C203" s="347"/>
      <c r="D203" s="459" t="e">
        <f>ROUNDDOWN(D202,1)*$Y76</f>
        <v>#VALUE!</v>
      </c>
      <c r="E203" s="460"/>
      <c r="F203" s="461"/>
      <c r="G203" s="459" t="e">
        <f>ROUNDDOWN(G202,1)*$Y76</f>
        <v>#VALUE!</v>
      </c>
      <c r="H203" s="460"/>
      <c r="I203" s="461"/>
      <c r="J203" s="459" t="e">
        <f>ROUNDDOWN(J202,1)*$Y76</f>
        <v>#VALUE!</v>
      </c>
      <c r="K203" s="460"/>
      <c r="L203" s="461"/>
      <c r="M203" s="49" t="s">
        <v>231</v>
      </c>
      <c r="AH203"/>
      <c r="AI203"/>
      <c r="AJ203"/>
      <c r="AK203"/>
      <c r="AL203" s="46"/>
      <c r="AM203"/>
      <c r="AN203"/>
      <c r="AO203"/>
      <c r="AP203"/>
      <c r="AQ203"/>
      <c r="AR203"/>
      <c r="AS203"/>
      <c r="AT203"/>
      <c r="AU203"/>
      <c r="AV203"/>
      <c r="AW203"/>
      <c r="AX203"/>
      <c r="BC203"/>
      <c r="BD203"/>
      <c r="BE203"/>
    </row>
    <row r="204" spans="1:57" s="1" customFormat="1" ht="20.25" hidden="1" customHeight="1">
      <c r="A204" s="30"/>
      <c r="C204" s="5"/>
      <c r="D204" s="31"/>
      <c r="E204" s="32"/>
      <c r="F204" s="32"/>
      <c r="G204" s="32"/>
      <c r="H204" s="32"/>
      <c r="I204" s="32"/>
      <c r="J204" s="32"/>
      <c r="K204" s="32"/>
      <c r="L204" s="5"/>
      <c r="M204" s="5"/>
      <c r="N204" s="5"/>
      <c r="O204" s="5"/>
      <c r="P204" s="5"/>
      <c r="Q204" s="5"/>
      <c r="AG204" s="5"/>
      <c r="AH204" s="5"/>
      <c r="AI204" s="5"/>
      <c r="AJ204" s="5"/>
      <c r="AK204" s="5"/>
      <c r="AL204" s="5"/>
      <c r="AM204" s="5"/>
      <c r="AN204" s="5"/>
      <c r="AO204" s="5"/>
      <c r="AP204" s="5"/>
      <c r="AQ204" s="5"/>
      <c r="AR204" s="5"/>
      <c r="AS204" s="5"/>
      <c r="AT204" s="5"/>
      <c r="AU204" s="5"/>
      <c r="AV204" s="5"/>
      <c r="AW204" s="5"/>
      <c r="AX204" s="5"/>
      <c r="AY204" s="5"/>
      <c r="AZ204" s="5"/>
    </row>
    <row r="205" spans="1:57" s="1" customFormat="1" ht="20.25" hidden="1" customHeight="1">
      <c r="A205" s="1" t="s">
        <v>135</v>
      </c>
      <c r="B205" s="5"/>
      <c r="C205" s="5"/>
      <c r="D205" s="5"/>
      <c r="E205" s="5"/>
      <c r="F205" s="5"/>
      <c r="G205" s="30"/>
      <c r="H205" s="5"/>
      <c r="I205" s="5"/>
      <c r="J205" s="5"/>
      <c r="K205" s="33"/>
      <c r="L205" s="5"/>
      <c r="M205" s="5"/>
      <c r="N205" s="5"/>
      <c r="O205" s="5"/>
      <c r="P205" s="5"/>
      <c r="Q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row>
    <row r="206" spans="1:57" s="1" customFormat="1" ht="20.25" hidden="1" customHeight="1">
      <c r="A206" s="345" t="s">
        <v>121</v>
      </c>
      <c r="B206" s="346"/>
      <c r="C206" s="347"/>
      <c r="D206" s="450" t="e">
        <f>IF(Y117="",NA(),ROUND(1443/(1443+Y117),4))</f>
        <v>#N/A</v>
      </c>
      <c r="E206" s="451"/>
      <c r="F206" s="452"/>
      <c r="G206" s="450" t="e">
        <f>IF(AB117="",NA(),ROUND(1443/(1443+AB117),4))</f>
        <v>#N/A</v>
      </c>
      <c r="H206" s="451"/>
      <c r="I206" s="452"/>
      <c r="J206" s="450" t="e">
        <f>IF(AE117="",NA(),ROUND(1443/(1443+AE117),4))</f>
        <v>#N/A</v>
      </c>
      <c r="K206" s="451"/>
      <c r="L206" s="452"/>
      <c r="M206" s="5"/>
      <c r="N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7" ht="20.25" hidden="1" customHeight="1">
      <c r="A207" s="345" t="s">
        <v>122</v>
      </c>
      <c r="B207" s="346"/>
      <c r="C207" s="347"/>
      <c r="D207" s="450" t="e">
        <f>IF(Y116="",NA(),IFERROR(Y116*VLOOKUP(Y116,'各種計算式等（配付時非表示）'!$E$3:$H$1003,3,TRUE)+VLOOKUP(Y116,'各種計算式等（配付時非表示）'!$E$3:$H$1003,4,TRUE)+0.0000000001,"-"))</f>
        <v>#N/A</v>
      </c>
      <c r="E207" s="451"/>
      <c r="F207" s="452"/>
      <c r="G207" s="450" t="e">
        <f>IF(AB116="",NA(),IFERROR(AB116*VLOOKUP(AB116,'各種計算式等（配付時非表示）'!$E$3:$H$1003,3,TRUE)+VLOOKUP(AB116,'各種計算式等（配付時非表示）'!$E$3:$H$1003,4,TRUE)+0.0000000001,"-"))</f>
        <v>#N/A</v>
      </c>
      <c r="H207" s="451"/>
      <c r="I207" s="452"/>
      <c r="J207" s="450" t="e">
        <f>IF(AE116="",NA(),IFERROR(AE116*VLOOKUP(AE116,'各種計算式等（配付時非表示）'!$E$3:$H$1003,3,TRUE)+VLOOKUP(AE116,'各種計算式等（配付時非表示）'!$E$3:$H$1003,4,TRUE)+0.0000000001,"-"))</f>
        <v>#N/A</v>
      </c>
      <c r="K207" s="451"/>
      <c r="L207" s="452"/>
      <c r="AH207"/>
      <c r="AI207"/>
      <c r="AJ207"/>
      <c r="AK207"/>
      <c r="AL207" s="46"/>
      <c r="AM207"/>
      <c r="AN207"/>
      <c r="AO207"/>
      <c r="AP207"/>
      <c r="AQ207"/>
      <c r="AR207"/>
      <c r="AS207"/>
      <c r="AT207"/>
      <c r="AU207"/>
      <c r="AV207"/>
      <c r="AW207"/>
      <c r="AX207"/>
      <c r="BC207"/>
      <c r="BD207"/>
      <c r="BE207"/>
    </row>
    <row r="208" spans="1:57" ht="20.25" hidden="1" customHeight="1">
      <c r="A208" s="345" t="s">
        <v>3</v>
      </c>
      <c r="B208" s="346"/>
      <c r="C208" s="347"/>
      <c r="D208" s="462" t="str">
        <f>IFERROR(ROUNDDOWN((D206-D207)*260+0.21,1),"")</f>
        <v/>
      </c>
      <c r="E208" s="463"/>
      <c r="F208" s="464"/>
      <c r="G208" s="462" t="str">
        <f>IFERROR(ROUNDDOWN((G206-G207)*260+0.21,1),"")</f>
        <v/>
      </c>
      <c r="H208" s="463"/>
      <c r="I208" s="464"/>
      <c r="J208" s="462" t="str">
        <f>IFERROR(ROUNDDOWN((J206-J207)*260+0.21,1),"")</f>
        <v/>
      </c>
      <c r="K208" s="463"/>
      <c r="L208" s="464"/>
      <c r="AH208"/>
      <c r="AI208"/>
      <c r="AJ208"/>
      <c r="AK208"/>
      <c r="AL208" s="46"/>
      <c r="AM208"/>
      <c r="AN208"/>
      <c r="AO208"/>
      <c r="AP208"/>
      <c r="AQ208"/>
      <c r="AR208"/>
      <c r="AS208"/>
      <c r="AT208"/>
      <c r="AU208"/>
      <c r="AV208"/>
      <c r="AW208"/>
      <c r="AX208"/>
      <c r="BC208"/>
      <c r="BD208"/>
      <c r="BE208"/>
    </row>
    <row r="209" spans="1:57" ht="19.5" hidden="1" customHeight="1"/>
    <row r="210" spans="1:57" ht="19.5" hidden="1" customHeight="1"/>
    <row r="211" spans="1:57" ht="20.399999999999999" hidden="1" customHeight="1" thickBot="1"/>
    <row r="212" spans="1:57" ht="14.4" hidden="1">
      <c r="A212" s="322" t="s">
        <v>60</v>
      </c>
      <c r="B212" s="323"/>
      <c r="C212" s="323"/>
      <c r="D212" s="253" t="s">
        <v>46</v>
      </c>
      <c r="E212" s="253" t="s">
        <v>11</v>
      </c>
      <c r="F212" s="253" t="s">
        <v>13</v>
      </c>
      <c r="G212" s="253" t="s">
        <v>47</v>
      </c>
      <c r="H212" s="253" t="s">
        <v>48</v>
      </c>
      <c r="I212" s="254" t="s">
        <v>51</v>
      </c>
      <c r="J212" s="255" t="s">
        <v>50</v>
      </c>
      <c r="K212" s="256"/>
      <c r="L212" s="322" t="s">
        <v>333</v>
      </c>
      <c r="M212" s="329"/>
      <c r="N212" s="329"/>
      <c r="O212" s="329"/>
      <c r="P212" s="257"/>
      <c r="Q212" s="258"/>
      <c r="Y212" s="258"/>
      <c r="Z212" s="259"/>
      <c r="AA212" s="259"/>
      <c r="AB212" s="258"/>
      <c r="AC212" s="258"/>
      <c r="AD212" s="258"/>
      <c r="AE212" s="258"/>
      <c r="AF212" s="258"/>
      <c r="AG212" s="258"/>
      <c r="AH212" s="258"/>
      <c r="AI212" s="258"/>
      <c r="AJ212" s="258"/>
      <c r="AK212" s="258"/>
      <c r="AL212" s="258"/>
      <c r="AM212" s="258"/>
      <c r="AN212" s="258"/>
      <c r="AO212" s="258"/>
      <c r="AP212" s="258"/>
      <c r="AQ212" s="258"/>
      <c r="AR212"/>
      <c r="AS212"/>
      <c r="AT212"/>
      <c r="AU212"/>
      <c r="AV212"/>
      <c r="AW212"/>
      <c r="AX212"/>
      <c r="AY212"/>
      <c r="AZ212"/>
      <c r="BA212"/>
      <c r="BB212"/>
      <c r="BC212"/>
      <c r="BD212"/>
      <c r="BE212"/>
    </row>
    <row r="213" spans="1:57" ht="14.4" hidden="1">
      <c r="A213" s="302" t="s">
        <v>149</v>
      </c>
      <c r="B213" s="301"/>
      <c r="C213" s="301"/>
      <c r="D213" s="260" t="str">
        <f>D71</f>
        <v/>
      </c>
      <c r="E213" s="260" t="str">
        <f>G71</f>
        <v/>
      </c>
      <c r="F213" s="260" t="str">
        <f>J71</f>
        <v/>
      </c>
      <c r="G213" s="260" t="str">
        <f>M71</f>
        <v/>
      </c>
      <c r="H213" s="260" t="str">
        <f>P71</f>
        <v/>
      </c>
      <c r="I213" s="261"/>
      <c r="J213" s="262" t="str">
        <f>IF(SUM(D213:I213)=0,"",SUM(D213:I213))</f>
        <v/>
      </c>
      <c r="K213" s="256"/>
      <c r="L213" s="302" t="s">
        <v>334</v>
      </c>
      <c r="M213" s="301"/>
      <c r="N213" s="301"/>
      <c r="O213" s="301"/>
      <c r="P213" s="263"/>
      <c r="Q213" s="258"/>
      <c r="Y213" s="258"/>
      <c r="Z213" s="259"/>
      <c r="AA213" s="259"/>
      <c r="AB213" s="258"/>
      <c r="AC213" s="258"/>
      <c r="AD213" s="258"/>
      <c r="AE213" s="258"/>
      <c r="AF213" s="258"/>
      <c r="AG213" s="258"/>
      <c r="AH213" s="258"/>
      <c r="AI213" s="258"/>
      <c r="AJ213" s="258"/>
      <c r="AK213" s="258"/>
      <c r="AL213" s="258"/>
      <c r="AM213" s="258"/>
      <c r="AN213" s="258"/>
      <c r="AO213" s="258"/>
      <c r="AP213" s="258"/>
      <c r="AQ213" s="258"/>
      <c r="AR213"/>
      <c r="AS213"/>
      <c r="AT213"/>
      <c r="AU213"/>
      <c r="AV213"/>
      <c r="AW213"/>
      <c r="AX213"/>
      <c r="AY213"/>
      <c r="AZ213"/>
      <c r="BA213"/>
      <c r="BB213"/>
      <c r="BC213"/>
      <c r="BD213"/>
      <c r="BE213"/>
    </row>
    <row r="214" spans="1:57" ht="14.4" hidden="1">
      <c r="A214" s="302" t="s">
        <v>91</v>
      </c>
      <c r="B214" s="301"/>
      <c r="C214" s="301"/>
      <c r="D214" s="260">
        <f>D72</f>
        <v>0</v>
      </c>
      <c r="E214" s="260">
        <f>G72</f>
        <v>0</v>
      </c>
      <c r="F214" s="260">
        <f>J72</f>
        <v>0</v>
      </c>
      <c r="G214" s="260">
        <f>M72</f>
        <v>0</v>
      </c>
      <c r="H214" s="260">
        <f>P72</f>
        <v>0</v>
      </c>
      <c r="I214" s="261"/>
      <c r="J214" s="262" t="str">
        <f>IF(SUM(D214:I214)=0,"",SUM(D214:I214))</f>
        <v/>
      </c>
      <c r="K214" s="264"/>
      <c r="L214" s="302" t="s">
        <v>335</v>
      </c>
      <c r="M214" s="301"/>
      <c r="N214" s="301"/>
      <c r="O214" s="301"/>
      <c r="P214" s="263"/>
      <c r="Q214" s="258"/>
      <c r="Y214" s="330"/>
      <c r="Z214" s="330"/>
      <c r="AA214" s="330"/>
      <c r="AB214" s="258"/>
      <c r="AC214" s="258"/>
      <c r="AD214" s="258"/>
      <c r="AE214" s="258"/>
      <c r="AF214" s="258"/>
      <c r="AG214" s="258"/>
      <c r="AH214" s="258"/>
      <c r="AI214" s="258"/>
      <c r="AJ214" s="258"/>
      <c r="AK214" s="258"/>
      <c r="AL214" s="258"/>
      <c r="AM214" s="258"/>
      <c r="AN214" s="258"/>
      <c r="AO214" s="258"/>
      <c r="AP214" s="258"/>
      <c r="AQ214" s="258"/>
      <c r="AR214"/>
      <c r="AS214"/>
      <c r="AT214"/>
      <c r="AU214"/>
      <c r="AV214"/>
      <c r="AW214"/>
      <c r="AX214"/>
      <c r="AY214"/>
      <c r="AZ214"/>
      <c r="BA214"/>
      <c r="BB214"/>
      <c r="BC214"/>
      <c r="BD214"/>
      <c r="BE214"/>
    </row>
    <row r="215" spans="1:57" ht="15" hidden="1" thickBot="1">
      <c r="A215" s="302" t="s">
        <v>49</v>
      </c>
      <c r="B215" s="301"/>
      <c r="C215" s="301"/>
      <c r="D215" s="260">
        <f>D73</f>
        <v>0</v>
      </c>
      <c r="E215" s="260">
        <f>G73</f>
        <v>0</v>
      </c>
      <c r="F215" s="260">
        <f>J73</f>
        <v>0</v>
      </c>
      <c r="G215" s="260">
        <f>M73</f>
        <v>0</v>
      </c>
      <c r="H215" s="260">
        <f>P73</f>
        <v>0</v>
      </c>
      <c r="I215" s="261"/>
      <c r="J215" s="262" t="str">
        <f>IF(SUM(D215:I215)=0,"",SUM(D215:I215))</f>
        <v/>
      </c>
      <c r="K215" s="264"/>
      <c r="L215" s="304" t="s">
        <v>336</v>
      </c>
      <c r="M215" s="305"/>
      <c r="N215" s="305"/>
      <c r="O215" s="305"/>
      <c r="P215" s="265"/>
      <c r="Q215" s="258"/>
      <c r="Y215" s="330"/>
      <c r="Z215" s="330"/>
      <c r="AA215" s="330"/>
      <c r="AB215" s="258"/>
      <c r="AC215" s="258"/>
      <c r="AD215" s="258"/>
      <c r="AE215" s="258"/>
      <c r="AF215" s="258"/>
      <c r="AG215" s="258"/>
      <c r="AH215" s="258"/>
      <c r="AI215" s="258"/>
      <c r="AJ215" s="258"/>
      <c r="AK215" s="258"/>
      <c r="AL215" s="258"/>
      <c r="AM215" s="258"/>
      <c r="AN215" s="258"/>
      <c r="AO215" s="258"/>
      <c r="AP215" s="258"/>
      <c r="AQ215" s="258"/>
      <c r="AR215"/>
      <c r="AS215"/>
      <c r="AT215"/>
      <c r="AU215"/>
      <c r="AV215"/>
      <c r="AW215"/>
      <c r="AX215"/>
      <c r="AY215"/>
      <c r="AZ215"/>
      <c r="BA215"/>
      <c r="BB215"/>
      <c r="BC215"/>
      <c r="BD215"/>
      <c r="BE215"/>
    </row>
    <row r="216" spans="1:57" ht="15" hidden="1" thickBot="1">
      <c r="A216" s="304" t="s">
        <v>148</v>
      </c>
      <c r="B216" s="305"/>
      <c r="C216" s="305"/>
      <c r="D216" s="260">
        <f>D74</f>
        <v>0</v>
      </c>
      <c r="E216" s="260">
        <f>G74</f>
        <v>0</v>
      </c>
      <c r="F216" s="260">
        <f>J74</f>
        <v>0</v>
      </c>
      <c r="G216" s="260">
        <f>M74</f>
        <v>0</v>
      </c>
      <c r="H216" s="260">
        <f>P74</f>
        <v>0</v>
      </c>
      <c r="I216" s="266" t="str">
        <f>IF(SUM(E219:AQ219)=0,"",SUM(E219:AQ219))</f>
        <v/>
      </c>
      <c r="J216" s="267" t="str">
        <f>IF(SUM(D216:I216)=0,"",SUM(D216:I216))</f>
        <v/>
      </c>
      <c r="K216" s="264"/>
      <c r="L216" s="264"/>
      <c r="M216" s="264"/>
      <c r="N216" s="264"/>
      <c r="O216" s="264"/>
      <c r="P216" s="264"/>
      <c r="Q216" s="264"/>
      <c r="Y216" s="330"/>
      <c r="Z216" s="330"/>
      <c r="AA216" s="330"/>
      <c r="AB216" s="258"/>
      <c r="AC216" s="258"/>
      <c r="AD216" s="258"/>
      <c r="AE216" s="258"/>
      <c r="AF216" s="258"/>
      <c r="AG216" s="258"/>
      <c r="AH216" s="258"/>
      <c r="AI216" s="258"/>
      <c r="AJ216" s="258"/>
      <c r="AK216" s="258"/>
      <c r="AL216" s="258"/>
      <c r="AM216" s="258"/>
      <c r="AN216" s="258"/>
      <c r="AO216" s="258"/>
      <c r="AP216" s="258"/>
      <c r="AQ216" s="258"/>
      <c r="AR216"/>
      <c r="AS216"/>
      <c r="AT216"/>
      <c r="AU216"/>
      <c r="AV216"/>
      <c r="AW216"/>
      <c r="AX216"/>
      <c r="AY216"/>
      <c r="AZ216"/>
      <c r="BA216"/>
      <c r="BB216"/>
      <c r="BC216"/>
      <c r="BD216"/>
      <c r="BE216"/>
    </row>
    <row r="217" spans="1:57" ht="10.5" hidden="1" customHeight="1" thickBot="1">
      <c r="A217" s="258"/>
      <c r="B217" s="258"/>
      <c r="C217" s="258"/>
      <c r="D217" s="258"/>
      <c r="E217" s="258"/>
      <c r="F217" s="258"/>
      <c r="G217" s="258"/>
      <c r="H217" s="258"/>
      <c r="I217" s="258"/>
      <c r="J217" s="258"/>
      <c r="K217" s="258"/>
      <c r="L217" s="258"/>
      <c r="M217" s="258"/>
      <c r="N217" s="258"/>
      <c r="O217" s="258"/>
      <c r="P217" s="258"/>
      <c r="Q217" s="258"/>
      <c r="R217" s="258"/>
      <c r="S217" s="258"/>
      <c r="T217" s="258"/>
      <c r="U217" s="258"/>
      <c r="V217" s="258"/>
      <c r="W217" s="258"/>
      <c r="X217" s="258"/>
      <c r="Y217" s="258"/>
      <c r="Z217" s="258"/>
      <c r="AA217" s="258"/>
      <c r="AB217" s="258"/>
      <c r="AC217" s="258"/>
      <c r="AD217" s="258"/>
      <c r="AE217" s="258"/>
      <c r="AF217" s="258"/>
      <c r="AG217" s="258"/>
      <c r="AH217" s="258"/>
      <c r="AI217" s="258"/>
      <c r="AJ217" s="258"/>
      <c r="AK217" s="258"/>
      <c r="AL217" s="258"/>
      <c r="AM217" s="258"/>
      <c r="AN217" s="258"/>
      <c r="AO217" s="258"/>
      <c r="AP217" s="258"/>
      <c r="AQ217" s="258"/>
      <c r="AR217"/>
      <c r="AS217"/>
      <c r="AT217"/>
      <c r="AU217"/>
      <c r="AV217"/>
      <c r="AW217"/>
      <c r="AX217"/>
      <c r="AY217"/>
      <c r="AZ217"/>
      <c r="BA217"/>
      <c r="BB217"/>
      <c r="BC217"/>
      <c r="BD217"/>
      <c r="BE217"/>
    </row>
    <row r="218" spans="1:57" ht="14.4" hidden="1">
      <c r="A218" s="331" t="s">
        <v>14</v>
      </c>
      <c r="B218" s="323"/>
      <c r="C218" s="323"/>
      <c r="D218" s="253">
        <v>1</v>
      </c>
      <c r="E218" s="253">
        <v>2</v>
      </c>
      <c r="F218" s="253">
        <v>3</v>
      </c>
      <c r="G218" s="253">
        <v>4</v>
      </c>
      <c r="H218" s="253">
        <v>5</v>
      </c>
      <c r="I218" s="253">
        <v>6</v>
      </c>
      <c r="J218" s="253">
        <v>7</v>
      </c>
      <c r="K218" s="253">
        <v>8</v>
      </c>
      <c r="L218" s="253">
        <v>9</v>
      </c>
      <c r="M218" s="253">
        <v>10</v>
      </c>
      <c r="N218" s="253">
        <v>11</v>
      </c>
      <c r="O218" s="253">
        <v>12</v>
      </c>
      <c r="P218" s="253">
        <v>13</v>
      </c>
      <c r="Q218" s="253">
        <v>14</v>
      </c>
      <c r="R218" s="253">
        <v>15</v>
      </c>
      <c r="S218" s="253">
        <v>16</v>
      </c>
      <c r="T218" s="253">
        <v>17</v>
      </c>
      <c r="U218" s="253">
        <v>18</v>
      </c>
      <c r="V218" s="253">
        <v>19</v>
      </c>
      <c r="W218" s="253">
        <v>20</v>
      </c>
      <c r="X218" s="253">
        <v>21</v>
      </c>
      <c r="Y218" s="253">
        <v>22</v>
      </c>
      <c r="Z218" s="253">
        <v>23</v>
      </c>
      <c r="AA218" s="253">
        <v>24</v>
      </c>
      <c r="AB218" s="253">
        <v>25</v>
      </c>
      <c r="AC218" s="253">
        <v>26</v>
      </c>
      <c r="AD218" s="253">
        <v>27</v>
      </c>
      <c r="AE218" s="253">
        <v>28</v>
      </c>
      <c r="AF218" s="253">
        <v>29</v>
      </c>
      <c r="AG218" s="253">
        <v>30</v>
      </c>
      <c r="AH218" s="253">
        <v>31</v>
      </c>
      <c r="AI218" s="253">
        <v>32</v>
      </c>
      <c r="AJ218" s="253">
        <v>33</v>
      </c>
      <c r="AK218" s="253">
        <v>34</v>
      </c>
      <c r="AL218" s="253">
        <v>35</v>
      </c>
      <c r="AM218" s="253">
        <v>36</v>
      </c>
      <c r="AN218" s="253">
        <v>37</v>
      </c>
      <c r="AO218" s="253">
        <v>38</v>
      </c>
      <c r="AP218" s="253">
        <v>39</v>
      </c>
      <c r="AQ218" s="255">
        <v>40</v>
      </c>
      <c r="AR218"/>
      <c r="AS218"/>
      <c r="AT218"/>
      <c r="AU218"/>
      <c r="AV218"/>
      <c r="AW218"/>
      <c r="AX218"/>
      <c r="AY218"/>
      <c r="AZ218"/>
      <c r="BA218"/>
      <c r="BB218"/>
      <c r="BC218"/>
      <c r="BD218"/>
      <c r="BE218"/>
    </row>
    <row r="219" spans="1:57" s="258" customFormat="1" ht="14.4" hidden="1">
      <c r="A219" s="302" t="s">
        <v>192</v>
      </c>
      <c r="B219" s="301"/>
      <c r="C219" s="301"/>
      <c r="D219" s="268"/>
      <c r="E219" s="269">
        <f t="shared" ref="E219:AQ219" si="89">S7</f>
        <v>0</v>
      </c>
      <c r="F219" s="269">
        <f t="shared" si="89"/>
        <v>0</v>
      </c>
      <c r="G219" s="269">
        <f t="shared" si="89"/>
        <v>0</v>
      </c>
      <c r="H219" s="269">
        <f t="shared" si="89"/>
        <v>0</v>
      </c>
      <c r="I219" s="269">
        <f t="shared" si="89"/>
        <v>0</v>
      </c>
      <c r="J219" s="269">
        <f t="shared" si="89"/>
        <v>0</v>
      </c>
      <c r="K219" s="269">
        <f t="shared" si="89"/>
        <v>0</v>
      </c>
      <c r="L219" s="269">
        <f t="shared" si="89"/>
        <v>0</v>
      </c>
      <c r="M219" s="269">
        <f t="shared" si="89"/>
        <v>0</v>
      </c>
      <c r="N219" s="269">
        <f t="shared" si="89"/>
        <v>0</v>
      </c>
      <c r="O219" s="269">
        <f t="shared" si="89"/>
        <v>0</v>
      </c>
      <c r="P219" s="269">
        <f t="shared" si="89"/>
        <v>0</v>
      </c>
      <c r="Q219" s="269">
        <f t="shared" si="89"/>
        <v>0</v>
      </c>
      <c r="R219" s="269">
        <f t="shared" si="89"/>
        <v>0</v>
      </c>
      <c r="S219" s="269">
        <f t="shared" si="89"/>
        <v>0</v>
      </c>
      <c r="T219" s="269">
        <f t="shared" si="89"/>
        <v>0</v>
      </c>
      <c r="U219" s="269">
        <f t="shared" si="89"/>
        <v>0</v>
      </c>
      <c r="V219" s="269">
        <f t="shared" si="89"/>
        <v>0</v>
      </c>
      <c r="W219" s="269">
        <f t="shared" si="89"/>
        <v>0</v>
      </c>
      <c r="X219" s="269">
        <f t="shared" si="89"/>
        <v>0</v>
      </c>
      <c r="Y219" s="269">
        <f t="shared" si="89"/>
        <v>0</v>
      </c>
      <c r="Z219" s="269">
        <f t="shared" si="89"/>
        <v>0</v>
      </c>
      <c r="AA219" s="269">
        <f t="shared" si="89"/>
        <v>0</v>
      </c>
      <c r="AB219" s="269">
        <f t="shared" si="89"/>
        <v>0</v>
      </c>
      <c r="AC219" s="269">
        <f t="shared" si="89"/>
        <v>0</v>
      </c>
      <c r="AD219" s="269">
        <f t="shared" si="89"/>
        <v>0</v>
      </c>
      <c r="AE219" s="269">
        <f t="shared" si="89"/>
        <v>0</v>
      </c>
      <c r="AF219" s="269">
        <f t="shared" si="89"/>
        <v>0</v>
      </c>
      <c r="AG219" s="269">
        <f t="shared" si="89"/>
        <v>0</v>
      </c>
      <c r="AH219" s="269">
        <f t="shared" si="89"/>
        <v>0</v>
      </c>
      <c r="AI219" s="269">
        <f t="shared" si="89"/>
        <v>0</v>
      </c>
      <c r="AJ219" s="269">
        <f t="shared" si="89"/>
        <v>0</v>
      </c>
      <c r="AK219" s="269">
        <f t="shared" si="89"/>
        <v>0</v>
      </c>
      <c r="AL219" s="269">
        <f t="shared" si="89"/>
        <v>0</v>
      </c>
      <c r="AM219" s="269">
        <f t="shared" si="89"/>
        <v>0</v>
      </c>
      <c r="AN219" s="269">
        <f t="shared" si="89"/>
        <v>0</v>
      </c>
      <c r="AO219" s="269">
        <f t="shared" si="89"/>
        <v>0</v>
      </c>
      <c r="AP219" s="269">
        <f t="shared" si="89"/>
        <v>0</v>
      </c>
      <c r="AQ219" s="269">
        <f t="shared" si="89"/>
        <v>0</v>
      </c>
      <c r="AR219"/>
    </row>
    <row r="220" spans="1:57" s="258" customFormat="1" ht="14.4" hidden="1">
      <c r="A220" s="309" t="s">
        <v>1</v>
      </c>
      <c r="B220" s="310"/>
      <c r="C220" s="311" t="s">
        <v>61</v>
      </c>
      <c r="D220" s="270"/>
      <c r="E220" s="271">
        <f t="shared" ref="E220:N222" si="90">S14</f>
        <v>0</v>
      </c>
      <c r="F220" s="271">
        <f t="shared" si="90"/>
        <v>0</v>
      </c>
      <c r="G220" s="271">
        <f t="shared" si="90"/>
        <v>0</v>
      </c>
      <c r="H220" s="271">
        <f t="shared" si="90"/>
        <v>0</v>
      </c>
      <c r="I220" s="271">
        <f t="shared" si="90"/>
        <v>0</v>
      </c>
      <c r="J220" s="271">
        <f t="shared" si="90"/>
        <v>0</v>
      </c>
      <c r="K220" s="271">
        <f t="shared" si="90"/>
        <v>0</v>
      </c>
      <c r="L220" s="271">
        <f t="shared" si="90"/>
        <v>0</v>
      </c>
      <c r="M220" s="271">
        <f t="shared" si="90"/>
        <v>0</v>
      </c>
      <c r="N220" s="271">
        <f t="shared" si="90"/>
        <v>0</v>
      </c>
      <c r="O220" s="271">
        <f t="shared" ref="O220:X222" si="91">AC14</f>
        <v>0</v>
      </c>
      <c r="P220" s="271">
        <f t="shared" si="91"/>
        <v>0</v>
      </c>
      <c r="Q220" s="271">
        <f t="shared" si="91"/>
        <v>0</v>
      </c>
      <c r="R220" s="271">
        <f t="shared" si="91"/>
        <v>0</v>
      </c>
      <c r="S220" s="271">
        <f t="shared" si="91"/>
        <v>0</v>
      </c>
      <c r="T220" s="271">
        <f t="shared" si="91"/>
        <v>0</v>
      </c>
      <c r="U220" s="271">
        <f t="shared" si="91"/>
        <v>0</v>
      </c>
      <c r="V220" s="271">
        <f t="shared" si="91"/>
        <v>0</v>
      </c>
      <c r="W220" s="271">
        <f t="shared" si="91"/>
        <v>0</v>
      </c>
      <c r="X220" s="271">
        <f t="shared" si="91"/>
        <v>0</v>
      </c>
      <c r="Y220" s="271">
        <f t="shared" ref="Y220:AH222" si="92">AM14</f>
        <v>0</v>
      </c>
      <c r="Z220" s="271">
        <f t="shared" si="92"/>
        <v>0</v>
      </c>
      <c r="AA220" s="271">
        <f t="shared" si="92"/>
        <v>0</v>
      </c>
      <c r="AB220" s="271">
        <f t="shared" si="92"/>
        <v>0</v>
      </c>
      <c r="AC220" s="271">
        <f t="shared" si="92"/>
        <v>0</v>
      </c>
      <c r="AD220" s="271">
        <f t="shared" si="92"/>
        <v>0</v>
      </c>
      <c r="AE220" s="271">
        <f t="shared" si="92"/>
        <v>0</v>
      </c>
      <c r="AF220" s="271">
        <f t="shared" si="92"/>
        <v>0</v>
      </c>
      <c r="AG220" s="271">
        <f t="shared" si="92"/>
        <v>0</v>
      </c>
      <c r="AH220" s="271">
        <f t="shared" si="92"/>
        <v>0</v>
      </c>
      <c r="AI220" s="271">
        <f t="shared" ref="AI220:AQ222" si="93">AW14</f>
        <v>0</v>
      </c>
      <c r="AJ220" s="271">
        <f t="shared" si="93"/>
        <v>0</v>
      </c>
      <c r="AK220" s="271">
        <f t="shared" si="93"/>
        <v>0</v>
      </c>
      <c r="AL220" s="271">
        <f t="shared" si="93"/>
        <v>0</v>
      </c>
      <c r="AM220" s="271">
        <f t="shared" si="93"/>
        <v>0</v>
      </c>
      <c r="AN220" s="271">
        <f t="shared" si="93"/>
        <v>0</v>
      </c>
      <c r="AO220" s="271">
        <f t="shared" si="93"/>
        <v>0</v>
      </c>
      <c r="AP220" s="271">
        <f t="shared" si="93"/>
        <v>0</v>
      </c>
      <c r="AQ220" s="271">
        <f t="shared" si="93"/>
        <v>0</v>
      </c>
      <c r="AR220"/>
    </row>
    <row r="221" spans="1:57" s="258" customFormat="1" ht="14.4" hidden="1">
      <c r="A221" s="309" t="s">
        <v>2</v>
      </c>
      <c r="B221" s="310"/>
      <c r="C221" s="311"/>
      <c r="D221" s="270"/>
      <c r="E221" s="271">
        <f t="shared" si="90"/>
        <v>0</v>
      </c>
      <c r="F221" s="271">
        <f t="shared" si="90"/>
        <v>0</v>
      </c>
      <c r="G221" s="271">
        <f t="shared" si="90"/>
        <v>0</v>
      </c>
      <c r="H221" s="271">
        <f t="shared" si="90"/>
        <v>0</v>
      </c>
      <c r="I221" s="271">
        <f t="shared" si="90"/>
        <v>0</v>
      </c>
      <c r="J221" s="271">
        <f t="shared" si="90"/>
        <v>0</v>
      </c>
      <c r="K221" s="271">
        <f t="shared" si="90"/>
        <v>0</v>
      </c>
      <c r="L221" s="271">
        <f t="shared" si="90"/>
        <v>0</v>
      </c>
      <c r="M221" s="271">
        <f t="shared" si="90"/>
        <v>0</v>
      </c>
      <c r="N221" s="271">
        <f t="shared" si="90"/>
        <v>0</v>
      </c>
      <c r="O221" s="271">
        <f t="shared" si="91"/>
        <v>0</v>
      </c>
      <c r="P221" s="271">
        <f t="shared" si="91"/>
        <v>0</v>
      </c>
      <c r="Q221" s="271">
        <f t="shared" si="91"/>
        <v>0</v>
      </c>
      <c r="R221" s="271">
        <f t="shared" si="91"/>
        <v>0</v>
      </c>
      <c r="S221" s="271">
        <f t="shared" si="91"/>
        <v>0</v>
      </c>
      <c r="T221" s="271">
        <f t="shared" si="91"/>
        <v>0</v>
      </c>
      <c r="U221" s="271">
        <f t="shared" si="91"/>
        <v>0</v>
      </c>
      <c r="V221" s="271">
        <f t="shared" si="91"/>
        <v>0</v>
      </c>
      <c r="W221" s="271">
        <f t="shared" si="91"/>
        <v>0</v>
      </c>
      <c r="X221" s="271">
        <f t="shared" si="91"/>
        <v>0</v>
      </c>
      <c r="Y221" s="271">
        <f t="shared" si="92"/>
        <v>0</v>
      </c>
      <c r="Z221" s="271">
        <f t="shared" si="92"/>
        <v>0</v>
      </c>
      <c r="AA221" s="271">
        <f t="shared" si="92"/>
        <v>0</v>
      </c>
      <c r="AB221" s="271">
        <f t="shared" si="92"/>
        <v>0</v>
      </c>
      <c r="AC221" s="271">
        <f t="shared" si="92"/>
        <v>0</v>
      </c>
      <c r="AD221" s="271">
        <f t="shared" si="92"/>
        <v>0</v>
      </c>
      <c r="AE221" s="271">
        <f t="shared" si="92"/>
        <v>0</v>
      </c>
      <c r="AF221" s="271">
        <f t="shared" si="92"/>
        <v>0</v>
      </c>
      <c r="AG221" s="271">
        <f t="shared" si="92"/>
        <v>0</v>
      </c>
      <c r="AH221" s="271">
        <f t="shared" si="92"/>
        <v>0</v>
      </c>
      <c r="AI221" s="271">
        <f t="shared" si="93"/>
        <v>0</v>
      </c>
      <c r="AJ221" s="271">
        <f t="shared" si="93"/>
        <v>0</v>
      </c>
      <c r="AK221" s="271">
        <f t="shared" si="93"/>
        <v>0</v>
      </c>
      <c r="AL221" s="271">
        <f t="shared" si="93"/>
        <v>0</v>
      </c>
      <c r="AM221" s="271">
        <f t="shared" si="93"/>
        <v>0</v>
      </c>
      <c r="AN221" s="271">
        <f t="shared" si="93"/>
        <v>0</v>
      </c>
      <c r="AO221" s="271">
        <f t="shared" si="93"/>
        <v>0</v>
      </c>
      <c r="AP221" s="271">
        <f t="shared" si="93"/>
        <v>0</v>
      </c>
      <c r="AQ221" s="271">
        <f t="shared" si="93"/>
        <v>0</v>
      </c>
      <c r="AR221"/>
    </row>
    <row r="222" spans="1:57" s="258" customFormat="1" ht="14.4" hidden="1">
      <c r="A222" s="302" t="s">
        <v>238</v>
      </c>
      <c r="B222" s="301"/>
      <c r="C222" s="301"/>
      <c r="D222" s="272"/>
      <c r="E222" s="271">
        <f t="shared" si="90"/>
        <v>0</v>
      </c>
      <c r="F222" s="271">
        <f t="shared" si="90"/>
        <v>0</v>
      </c>
      <c r="G222" s="271">
        <f t="shared" si="90"/>
        <v>0</v>
      </c>
      <c r="H222" s="271">
        <f t="shared" si="90"/>
        <v>0</v>
      </c>
      <c r="I222" s="271">
        <f t="shared" si="90"/>
        <v>0</v>
      </c>
      <c r="J222" s="271">
        <f t="shared" si="90"/>
        <v>0</v>
      </c>
      <c r="K222" s="271">
        <f t="shared" si="90"/>
        <v>0</v>
      </c>
      <c r="L222" s="271">
        <f t="shared" si="90"/>
        <v>0</v>
      </c>
      <c r="M222" s="271">
        <f t="shared" si="90"/>
        <v>0</v>
      </c>
      <c r="N222" s="271">
        <f t="shared" si="90"/>
        <v>0</v>
      </c>
      <c r="O222" s="271">
        <f t="shared" si="91"/>
        <v>0</v>
      </c>
      <c r="P222" s="271">
        <f t="shared" si="91"/>
        <v>0</v>
      </c>
      <c r="Q222" s="271">
        <f t="shared" si="91"/>
        <v>0</v>
      </c>
      <c r="R222" s="271">
        <f t="shared" si="91"/>
        <v>0</v>
      </c>
      <c r="S222" s="271">
        <f t="shared" si="91"/>
        <v>0</v>
      </c>
      <c r="T222" s="271">
        <f t="shared" si="91"/>
        <v>0</v>
      </c>
      <c r="U222" s="271">
        <f t="shared" si="91"/>
        <v>0</v>
      </c>
      <c r="V222" s="271">
        <f t="shared" si="91"/>
        <v>0</v>
      </c>
      <c r="W222" s="271">
        <f t="shared" si="91"/>
        <v>0</v>
      </c>
      <c r="X222" s="271">
        <f t="shared" si="91"/>
        <v>0</v>
      </c>
      <c r="Y222" s="271">
        <f t="shared" si="92"/>
        <v>0</v>
      </c>
      <c r="Z222" s="271">
        <f t="shared" si="92"/>
        <v>0</v>
      </c>
      <c r="AA222" s="271">
        <f t="shared" si="92"/>
        <v>0</v>
      </c>
      <c r="AB222" s="271">
        <f t="shared" si="92"/>
        <v>0</v>
      </c>
      <c r="AC222" s="271">
        <f t="shared" si="92"/>
        <v>0</v>
      </c>
      <c r="AD222" s="271">
        <f t="shared" si="92"/>
        <v>0</v>
      </c>
      <c r="AE222" s="271">
        <f t="shared" si="92"/>
        <v>0</v>
      </c>
      <c r="AF222" s="271">
        <f t="shared" si="92"/>
        <v>0</v>
      </c>
      <c r="AG222" s="271">
        <f t="shared" si="92"/>
        <v>0</v>
      </c>
      <c r="AH222" s="271">
        <f t="shared" si="92"/>
        <v>0</v>
      </c>
      <c r="AI222" s="271">
        <f t="shared" si="93"/>
        <v>0</v>
      </c>
      <c r="AJ222" s="271">
        <f t="shared" si="93"/>
        <v>0</v>
      </c>
      <c r="AK222" s="271">
        <f t="shared" si="93"/>
        <v>0</v>
      </c>
      <c r="AL222" s="271">
        <f t="shared" si="93"/>
        <v>0</v>
      </c>
      <c r="AM222" s="271">
        <f t="shared" si="93"/>
        <v>0</v>
      </c>
      <c r="AN222" s="271">
        <f t="shared" si="93"/>
        <v>0</v>
      </c>
      <c r="AO222" s="271">
        <f t="shared" si="93"/>
        <v>0</v>
      </c>
      <c r="AP222" s="271">
        <f t="shared" si="93"/>
        <v>0</v>
      </c>
      <c r="AQ222" s="271">
        <f t="shared" si="93"/>
        <v>0</v>
      </c>
      <c r="AR222"/>
    </row>
    <row r="223" spans="1:57" s="258" customFormat="1" ht="14.4" hidden="1">
      <c r="A223" s="302" t="s">
        <v>338</v>
      </c>
      <c r="B223" s="301"/>
      <c r="C223" s="301"/>
      <c r="D223" s="273"/>
      <c r="E223" s="271" t="str">
        <f t="shared" ref="E223:AQ226" ca="1" si="94">IFERROR(E240,"")</f>
        <v/>
      </c>
      <c r="F223" s="271" t="str">
        <f t="shared" ca="1" si="94"/>
        <v/>
      </c>
      <c r="G223" s="271" t="str">
        <f t="shared" ca="1" si="94"/>
        <v/>
      </c>
      <c r="H223" s="271" t="str">
        <f t="shared" ca="1" si="94"/>
        <v/>
      </c>
      <c r="I223" s="271" t="str">
        <f t="shared" ca="1" si="94"/>
        <v/>
      </c>
      <c r="J223" s="271" t="str">
        <f t="shared" ca="1" si="94"/>
        <v/>
      </c>
      <c r="K223" s="271" t="str">
        <f t="shared" ca="1" si="94"/>
        <v/>
      </c>
      <c r="L223" s="271" t="str">
        <f t="shared" ca="1" si="94"/>
        <v/>
      </c>
      <c r="M223" s="271" t="str">
        <f t="shared" ca="1" si="94"/>
        <v/>
      </c>
      <c r="N223" s="271" t="str">
        <f t="shared" ca="1" si="94"/>
        <v/>
      </c>
      <c r="O223" s="271" t="str">
        <f t="shared" ca="1" si="94"/>
        <v/>
      </c>
      <c r="P223" s="271" t="str">
        <f t="shared" ca="1" si="94"/>
        <v/>
      </c>
      <c r="Q223" s="271" t="str">
        <f t="shared" ca="1" si="94"/>
        <v/>
      </c>
      <c r="R223" s="271" t="str">
        <f t="shared" ca="1" si="94"/>
        <v/>
      </c>
      <c r="S223" s="271" t="str">
        <f t="shared" ca="1" si="94"/>
        <v/>
      </c>
      <c r="T223" s="271" t="str">
        <f t="shared" ca="1" si="94"/>
        <v/>
      </c>
      <c r="U223" s="271" t="str">
        <f t="shared" ca="1" si="94"/>
        <v/>
      </c>
      <c r="V223" s="271" t="str">
        <f t="shared" ca="1" si="94"/>
        <v/>
      </c>
      <c r="W223" s="271" t="str">
        <f t="shared" ca="1" si="94"/>
        <v/>
      </c>
      <c r="X223" s="271" t="str">
        <f t="shared" ca="1" si="94"/>
        <v/>
      </c>
      <c r="Y223" s="271" t="str">
        <f t="shared" ca="1" si="94"/>
        <v/>
      </c>
      <c r="Z223" s="271" t="str">
        <f t="shared" ca="1" si="94"/>
        <v/>
      </c>
      <c r="AA223" s="271" t="str">
        <f t="shared" ca="1" si="94"/>
        <v/>
      </c>
      <c r="AB223" s="271" t="str">
        <f t="shared" ca="1" si="94"/>
        <v/>
      </c>
      <c r="AC223" s="271" t="str">
        <f t="shared" ca="1" si="94"/>
        <v/>
      </c>
      <c r="AD223" s="271" t="str">
        <f t="shared" ca="1" si="94"/>
        <v/>
      </c>
      <c r="AE223" s="271" t="str">
        <f t="shared" ca="1" si="94"/>
        <v/>
      </c>
      <c r="AF223" s="271" t="str">
        <f t="shared" ca="1" si="94"/>
        <v/>
      </c>
      <c r="AG223" s="271" t="str">
        <f t="shared" ca="1" si="94"/>
        <v/>
      </c>
      <c r="AH223" s="271" t="str">
        <f t="shared" ca="1" si="94"/>
        <v/>
      </c>
      <c r="AI223" s="271" t="str">
        <f t="shared" ca="1" si="94"/>
        <v/>
      </c>
      <c r="AJ223" s="271" t="str">
        <f t="shared" ca="1" si="94"/>
        <v/>
      </c>
      <c r="AK223" s="271" t="str">
        <f t="shared" ca="1" si="94"/>
        <v/>
      </c>
      <c r="AL223" s="271" t="str">
        <f t="shared" ca="1" si="94"/>
        <v/>
      </c>
      <c r="AM223" s="271" t="str">
        <f t="shared" ca="1" si="94"/>
        <v/>
      </c>
      <c r="AN223" s="271" t="str">
        <f t="shared" ca="1" si="94"/>
        <v/>
      </c>
      <c r="AO223" s="271" t="str">
        <f t="shared" ca="1" si="94"/>
        <v/>
      </c>
      <c r="AP223" s="271" t="str">
        <f t="shared" ca="1" si="94"/>
        <v/>
      </c>
      <c r="AQ223" s="274" t="str">
        <f t="shared" ca="1" si="94"/>
        <v/>
      </c>
      <c r="AR223"/>
    </row>
    <row r="224" spans="1:57" s="258" customFormat="1" ht="14.25" hidden="1" customHeight="1">
      <c r="A224" s="302" t="s">
        <v>337</v>
      </c>
      <c r="B224" s="301"/>
      <c r="C224" s="301"/>
      <c r="D224" s="273"/>
      <c r="E224" s="271" t="str">
        <f t="shared" si="94"/>
        <v/>
      </c>
      <c r="F224" s="271" t="str">
        <f t="shared" si="94"/>
        <v/>
      </c>
      <c r="G224" s="271" t="str">
        <f t="shared" si="94"/>
        <v/>
      </c>
      <c r="H224" s="271" t="str">
        <f t="shared" si="94"/>
        <v/>
      </c>
      <c r="I224" s="271" t="str">
        <f t="shared" si="94"/>
        <v/>
      </c>
      <c r="J224" s="271" t="str">
        <f t="shared" si="94"/>
        <v/>
      </c>
      <c r="K224" s="271" t="str">
        <f t="shared" si="94"/>
        <v/>
      </c>
      <c r="L224" s="271" t="str">
        <f t="shared" si="94"/>
        <v/>
      </c>
      <c r="M224" s="271" t="str">
        <f t="shared" si="94"/>
        <v/>
      </c>
      <c r="N224" s="271" t="str">
        <f t="shared" si="94"/>
        <v/>
      </c>
      <c r="O224" s="271" t="str">
        <f t="shared" si="94"/>
        <v/>
      </c>
      <c r="P224" s="271" t="str">
        <f t="shared" si="94"/>
        <v/>
      </c>
      <c r="Q224" s="271" t="str">
        <f t="shared" si="94"/>
        <v/>
      </c>
      <c r="R224" s="271" t="str">
        <f t="shared" si="94"/>
        <v/>
      </c>
      <c r="S224" s="271" t="str">
        <f t="shared" si="94"/>
        <v/>
      </c>
      <c r="T224" s="271" t="str">
        <f t="shared" si="94"/>
        <v/>
      </c>
      <c r="U224" s="271" t="str">
        <f t="shared" si="94"/>
        <v/>
      </c>
      <c r="V224" s="271" t="str">
        <f t="shared" si="94"/>
        <v/>
      </c>
      <c r="W224" s="271" t="str">
        <f t="shared" si="94"/>
        <v/>
      </c>
      <c r="X224" s="271" t="str">
        <f t="shared" si="94"/>
        <v/>
      </c>
      <c r="Y224" s="271" t="str">
        <f t="shared" si="94"/>
        <v/>
      </c>
      <c r="Z224" s="271" t="str">
        <f t="shared" si="94"/>
        <v/>
      </c>
      <c r="AA224" s="271" t="str">
        <f t="shared" si="94"/>
        <v/>
      </c>
      <c r="AB224" s="271" t="str">
        <f t="shared" si="94"/>
        <v/>
      </c>
      <c r="AC224" s="271" t="str">
        <f t="shared" si="94"/>
        <v/>
      </c>
      <c r="AD224" s="271" t="str">
        <f t="shared" si="94"/>
        <v/>
      </c>
      <c r="AE224" s="271" t="str">
        <f t="shared" si="94"/>
        <v/>
      </c>
      <c r="AF224" s="271" t="str">
        <f t="shared" si="94"/>
        <v/>
      </c>
      <c r="AG224" s="271" t="str">
        <f t="shared" si="94"/>
        <v/>
      </c>
      <c r="AH224" s="271" t="str">
        <f t="shared" si="94"/>
        <v/>
      </c>
      <c r="AI224" s="271" t="str">
        <f t="shared" si="94"/>
        <v/>
      </c>
      <c r="AJ224" s="271" t="str">
        <f t="shared" si="94"/>
        <v/>
      </c>
      <c r="AK224" s="271" t="str">
        <f t="shared" si="94"/>
        <v/>
      </c>
      <c r="AL224" s="271" t="str">
        <f t="shared" si="94"/>
        <v/>
      </c>
      <c r="AM224" s="271" t="str">
        <f t="shared" si="94"/>
        <v/>
      </c>
      <c r="AN224" s="271" t="str">
        <f t="shared" si="94"/>
        <v/>
      </c>
      <c r="AO224" s="271" t="str">
        <f t="shared" si="94"/>
        <v/>
      </c>
      <c r="AP224" s="271" t="str">
        <f t="shared" si="94"/>
        <v/>
      </c>
      <c r="AQ224" s="274" t="str">
        <f t="shared" si="94"/>
        <v/>
      </c>
      <c r="AR224"/>
    </row>
    <row r="225" spans="1:57" s="258" customFormat="1" ht="14.4" hidden="1">
      <c r="A225" s="302" t="s">
        <v>364</v>
      </c>
      <c r="B225" s="301"/>
      <c r="C225" s="301"/>
      <c r="D225" s="273"/>
      <c r="E225" s="271" t="str">
        <f t="shared" si="94"/>
        <v/>
      </c>
      <c r="F225" s="271" t="str">
        <f t="shared" si="94"/>
        <v/>
      </c>
      <c r="G225" s="271" t="str">
        <f t="shared" si="94"/>
        <v/>
      </c>
      <c r="H225" s="271" t="str">
        <f t="shared" si="94"/>
        <v/>
      </c>
      <c r="I225" s="271" t="str">
        <f t="shared" si="94"/>
        <v/>
      </c>
      <c r="J225" s="271" t="str">
        <f t="shared" si="94"/>
        <v/>
      </c>
      <c r="K225" s="271" t="str">
        <f t="shared" si="94"/>
        <v/>
      </c>
      <c r="L225" s="271" t="str">
        <f t="shared" si="94"/>
        <v/>
      </c>
      <c r="M225" s="271" t="str">
        <f t="shared" si="94"/>
        <v/>
      </c>
      <c r="N225" s="271" t="str">
        <f t="shared" si="94"/>
        <v/>
      </c>
      <c r="O225" s="271" t="str">
        <f t="shared" si="94"/>
        <v/>
      </c>
      <c r="P225" s="271" t="str">
        <f t="shared" si="94"/>
        <v/>
      </c>
      <c r="Q225" s="271" t="str">
        <f t="shared" si="94"/>
        <v/>
      </c>
      <c r="R225" s="271" t="str">
        <f t="shared" si="94"/>
        <v/>
      </c>
      <c r="S225" s="271" t="str">
        <f t="shared" si="94"/>
        <v/>
      </c>
      <c r="T225" s="271" t="str">
        <f t="shared" si="94"/>
        <v/>
      </c>
      <c r="U225" s="271" t="str">
        <f t="shared" si="94"/>
        <v/>
      </c>
      <c r="V225" s="271" t="str">
        <f t="shared" si="94"/>
        <v/>
      </c>
      <c r="W225" s="271" t="str">
        <f t="shared" si="94"/>
        <v/>
      </c>
      <c r="X225" s="271" t="str">
        <f t="shared" si="94"/>
        <v/>
      </c>
      <c r="Y225" s="271" t="str">
        <f t="shared" si="94"/>
        <v/>
      </c>
      <c r="Z225" s="271" t="str">
        <f t="shared" si="94"/>
        <v/>
      </c>
      <c r="AA225" s="271" t="str">
        <f t="shared" si="94"/>
        <v/>
      </c>
      <c r="AB225" s="271" t="str">
        <f t="shared" si="94"/>
        <v/>
      </c>
      <c r="AC225" s="271" t="str">
        <f t="shared" si="94"/>
        <v/>
      </c>
      <c r="AD225" s="271" t="str">
        <f t="shared" si="94"/>
        <v/>
      </c>
      <c r="AE225" s="271" t="str">
        <f t="shared" si="94"/>
        <v/>
      </c>
      <c r="AF225" s="271" t="str">
        <f t="shared" si="94"/>
        <v/>
      </c>
      <c r="AG225" s="271" t="str">
        <f t="shared" si="94"/>
        <v/>
      </c>
      <c r="AH225" s="271" t="str">
        <f t="shared" si="94"/>
        <v/>
      </c>
      <c r="AI225" s="271" t="str">
        <f t="shared" si="94"/>
        <v/>
      </c>
      <c r="AJ225" s="271" t="str">
        <f t="shared" si="94"/>
        <v/>
      </c>
      <c r="AK225" s="271" t="str">
        <f t="shared" si="94"/>
        <v/>
      </c>
      <c r="AL225" s="271" t="str">
        <f t="shared" si="94"/>
        <v/>
      </c>
      <c r="AM225" s="271" t="str">
        <f t="shared" si="94"/>
        <v/>
      </c>
      <c r="AN225" s="271" t="str">
        <f t="shared" si="94"/>
        <v/>
      </c>
      <c r="AO225" s="271" t="str">
        <f t="shared" si="94"/>
        <v/>
      </c>
      <c r="AP225" s="271" t="str">
        <f t="shared" si="94"/>
        <v/>
      </c>
      <c r="AQ225" s="274" t="str">
        <f t="shared" si="94"/>
        <v/>
      </c>
    </row>
    <row r="226" spans="1:57" s="258" customFormat="1" ht="14.4" hidden="1">
      <c r="A226" s="312" t="s">
        <v>365</v>
      </c>
      <c r="B226" s="313"/>
      <c r="C226" s="313"/>
      <c r="D226" s="275"/>
      <c r="E226" s="271" t="str">
        <f t="shared" si="94"/>
        <v/>
      </c>
      <c r="F226" s="271" t="str">
        <f t="shared" si="94"/>
        <v/>
      </c>
      <c r="G226" s="271" t="str">
        <f t="shared" si="94"/>
        <v/>
      </c>
      <c r="H226" s="271" t="str">
        <f t="shared" si="94"/>
        <v/>
      </c>
      <c r="I226" s="271" t="str">
        <f t="shared" si="94"/>
        <v/>
      </c>
      <c r="J226" s="271" t="str">
        <f t="shared" si="94"/>
        <v/>
      </c>
      <c r="K226" s="271" t="str">
        <f t="shared" si="94"/>
        <v/>
      </c>
      <c r="L226" s="271" t="str">
        <f t="shared" si="94"/>
        <v/>
      </c>
      <c r="M226" s="271" t="str">
        <f t="shared" si="94"/>
        <v/>
      </c>
      <c r="N226" s="271" t="str">
        <f t="shared" si="94"/>
        <v/>
      </c>
      <c r="O226" s="271" t="str">
        <f t="shared" si="94"/>
        <v/>
      </c>
      <c r="P226" s="271" t="str">
        <f t="shared" si="94"/>
        <v/>
      </c>
      <c r="Q226" s="271" t="str">
        <f t="shared" si="94"/>
        <v/>
      </c>
      <c r="R226" s="271" t="str">
        <f t="shared" si="94"/>
        <v/>
      </c>
      <c r="S226" s="271" t="str">
        <f t="shared" si="94"/>
        <v/>
      </c>
      <c r="T226" s="271" t="str">
        <f t="shared" si="94"/>
        <v/>
      </c>
      <c r="U226" s="271" t="str">
        <f t="shared" si="94"/>
        <v/>
      </c>
      <c r="V226" s="271" t="str">
        <f t="shared" si="94"/>
        <v/>
      </c>
      <c r="W226" s="271" t="str">
        <f t="shared" si="94"/>
        <v/>
      </c>
      <c r="X226" s="271" t="str">
        <f t="shared" si="94"/>
        <v/>
      </c>
      <c r="Y226" s="271" t="str">
        <f t="shared" si="94"/>
        <v/>
      </c>
      <c r="Z226" s="271" t="str">
        <f t="shared" si="94"/>
        <v/>
      </c>
      <c r="AA226" s="271" t="str">
        <f t="shared" si="94"/>
        <v/>
      </c>
      <c r="AB226" s="271" t="str">
        <f t="shared" si="94"/>
        <v/>
      </c>
      <c r="AC226" s="271" t="str">
        <f t="shared" si="94"/>
        <v/>
      </c>
      <c r="AD226" s="271" t="str">
        <f t="shared" si="94"/>
        <v/>
      </c>
      <c r="AE226" s="271" t="str">
        <f t="shared" si="94"/>
        <v/>
      </c>
      <c r="AF226" s="271" t="str">
        <f t="shared" si="94"/>
        <v/>
      </c>
      <c r="AG226" s="271" t="str">
        <f t="shared" si="94"/>
        <v/>
      </c>
      <c r="AH226" s="271" t="str">
        <f t="shared" si="94"/>
        <v/>
      </c>
      <c r="AI226" s="271" t="str">
        <f t="shared" si="94"/>
        <v/>
      </c>
      <c r="AJ226" s="271" t="str">
        <f t="shared" si="94"/>
        <v/>
      </c>
      <c r="AK226" s="271" t="str">
        <f t="shared" si="94"/>
        <v/>
      </c>
      <c r="AL226" s="271" t="str">
        <f t="shared" si="94"/>
        <v/>
      </c>
      <c r="AM226" s="271" t="str">
        <f t="shared" si="94"/>
        <v/>
      </c>
      <c r="AN226" s="271" t="str">
        <f t="shared" si="94"/>
        <v/>
      </c>
      <c r="AO226" s="271" t="str">
        <f t="shared" si="94"/>
        <v/>
      </c>
      <c r="AP226" s="271" t="str">
        <f t="shared" si="94"/>
        <v/>
      </c>
      <c r="AQ226" s="274" t="str">
        <f t="shared" si="94"/>
        <v/>
      </c>
    </row>
    <row r="227" spans="1:57" s="258" customFormat="1" ht="14.4" hidden="1">
      <c r="A227" s="302" t="s">
        <v>339</v>
      </c>
      <c r="B227" s="301"/>
      <c r="C227" s="301"/>
      <c r="D227" s="268"/>
      <c r="E227" s="276">
        <f t="shared" ref="E227:AQ227" si="95">IF(E219="",0,E219)</f>
        <v>0</v>
      </c>
      <c r="F227" s="276">
        <f t="shared" si="95"/>
        <v>0</v>
      </c>
      <c r="G227" s="276">
        <f t="shared" si="95"/>
        <v>0</v>
      </c>
      <c r="H227" s="276">
        <f t="shared" si="95"/>
        <v>0</v>
      </c>
      <c r="I227" s="276">
        <f t="shared" si="95"/>
        <v>0</v>
      </c>
      <c r="J227" s="276">
        <f t="shared" si="95"/>
        <v>0</v>
      </c>
      <c r="K227" s="276">
        <f t="shared" si="95"/>
        <v>0</v>
      </c>
      <c r="L227" s="276">
        <f t="shared" si="95"/>
        <v>0</v>
      </c>
      <c r="M227" s="276">
        <f t="shared" si="95"/>
        <v>0</v>
      </c>
      <c r="N227" s="276">
        <f t="shared" si="95"/>
        <v>0</v>
      </c>
      <c r="O227" s="276">
        <f t="shared" si="95"/>
        <v>0</v>
      </c>
      <c r="P227" s="276">
        <f t="shared" si="95"/>
        <v>0</v>
      </c>
      <c r="Q227" s="276">
        <f t="shared" si="95"/>
        <v>0</v>
      </c>
      <c r="R227" s="276">
        <f t="shared" si="95"/>
        <v>0</v>
      </c>
      <c r="S227" s="276">
        <f t="shared" si="95"/>
        <v>0</v>
      </c>
      <c r="T227" s="276">
        <f t="shared" si="95"/>
        <v>0</v>
      </c>
      <c r="U227" s="276">
        <f t="shared" si="95"/>
        <v>0</v>
      </c>
      <c r="V227" s="276">
        <f t="shared" si="95"/>
        <v>0</v>
      </c>
      <c r="W227" s="276">
        <f t="shared" si="95"/>
        <v>0</v>
      </c>
      <c r="X227" s="276">
        <f t="shared" si="95"/>
        <v>0</v>
      </c>
      <c r="Y227" s="276">
        <f t="shared" si="95"/>
        <v>0</v>
      </c>
      <c r="Z227" s="276">
        <f t="shared" si="95"/>
        <v>0</v>
      </c>
      <c r="AA227" s="276">
        <f t="shared" si="95"/>
        <v>0</v>
      </c>
      <c r="AB227" s="276">
        <f t="shared" si="95"/>
        <v>0</v>
      </c>
      <c r="AC227" s="276">
        <f t="shared" si="95"/>
        <v>0</v>
      </c>
      <c r="AD227" s="276">
        <f t="shared" si="95"/>
        <v>0</v>
      </c>
      <c r="AE227" s="276">
        <f t="shared" si="95"/>
        <v>0</v>
      </c>
      <c r="AF227" s="276">
        <f t="shared" si="95"/>
        <v>0</v>
      </c>
      <c r="AG227" s="276">
        <f t="shared" si="95"/>
        <v>0</v>
      </c>
      <c r="AH227" s="276">
        <f t="shared" si="95"/>
        <v>0</v>
      </c>
      <c r="AI227" s="276">
        <f t="shared" si="95"/>
        <v>0</v>
      </c>
      <c r="AJ227" s="276">
        <f t="shared" si="95"/>
        <v>0</v>
      </c>
      <c r="AK227" s="276">
        <f t="shared" si="95"/>
        <v>0</v>
      </c>
      <c r="AL227" s="276">
        <f t="shared" si="95"/>
        <v>0</v>
      </c>
      <c r="AM227" s="276">
        <f t="shared" si="95"/>
        <v>0</v>
      </c>
      <c r="AN227" s="276">
        <f t="shared" si="95"/>
        <v>0</v>
      </c>
      <c r="AO227" s="276">
        <f t="shared" si="95"/>
        <v>0</v>
      </c>
      <c r="AP227" s="276">
        <f t="shared" si="95"/>
        <v>0</v>
      </c>
      <c r="AQ227" s="277">
        <f t="shared" si="95"/>
        <v>0</v>
      </c>
      <c r="AR227"/>
    </row>
    <row r="228" spans="1:57" s="258" customFormat="1" ht="14.4" hidden="1">
      <c r="A228" s="314" t="s">
        <v>340</v>
      </c>
      <c r="B228" s="315"/>
      <c r="C228" s="316"/>
      <c r="D228" s="278">
        <f>SUM(D216:G216)</f>
        <v>0</v>
      </c>
      <c r="E228" s="279">
        <f t="shared" ref="E228:AQ228" si="96">D228+D227</f>
        <v>0</v>
      </c>
      <c r="F228" s="279">
        <f t="shared" si="96"/>
        <v>0</v>
      </c>
      <c r="G228" s="279">
        <f t="shared" si="96"/>
        <v>0</v>
      </c>
      <c r="H228" s="279">
        <f t="shared" si="96"/>
        <v>0</v>
      </c>
      <c r="I228" s="279">
        <f t="shared" si="96"/>
        <v>0</v>
      </c>
      <c r="J228" s="279">
        <f t="shared" si="96"/>
        <v>0</v>
      </c>
      <c r="K228" s="279">
        <f t="shared" si="96"/>
        <v>0</v>
      </c>
      <c r="L228" s="279">
        <f t="shared" si="96"/>
        <v>0</v>
      </c>
      <c r="M228" s="279">
        <f t="shared" si="96"/>
        <v>0</v>
      </c>
      <c r="N228" s="279">
        <f t="shared" si="96"/>
        <v>0</v>
      </c>
      <c r="O228" s="279">
        <f t="shared" si="96"/>
        <v>0</v>
      </c>
      <c r="P228" s="279">
        <f t="shared" si="96"/>
        <v>0</v>
      </c>
      <c r="Q228" s="279">
        <f t="shared" si="96"/>
        <v>0</v>
      </c>
      <c r="R228" s="279">
        <f t="shared" si="96"/>
        <v>0</v>
      </c>
      <c r="S228" s="279">
        <f t="shared" si="96"/>
        <v>0</v>
      </c>
      <c r="T228" s="279">
        <f t="shared" si="96"/>
        <v>0</v>
      </c>
      <c r="U228" s="279">
        <f t="shared" si="96"/>
        <v>0</v>
      </c>
      <c r="V228" s="279">
        <f t="shared" si="96"/>
        <v>0</v>
      </c>
      <c r="W228" s="279">
        <f t="shared" si="96"/>
        <v>0</v>
      </c>
      <c r="X228" s="279">
        <f t="shared" si="96"/>
        <v>0</v>
      </c>
      <c r="Y228" s="279">
        <f t="shared" si="96"/>
        <v>0</v>
      </c>
      <c r="Z228" s="279">
        <f t="shared" si="96"/>
        <v>0</v>
      </c>
      <c r="AA228" s="279">
        <f t="shared" si="96"/>
        <v>0</v>
      </c>
      <c r="AB228" s="279">
        <f t="shared" si="96"/>
        <v>0</v>
      </c>
      <c r="AC228" s="279">
        <f t="shared" si="96"/>
        <v>0</v>
      </c>
      <c r="AD228" s="279">
        <f t="shared" si="96"/>
        <v>0</v>
      </c>
      <c r="AE228" s="279">
        <f t="shared" si="96"/>
        <v>0</v>
      </c>
      <c r="AF228" s="279">
        <f t="shared" si="96"/>
        <v>0</v>
      </c>
      <c r="AG228" s="279">
        <f t="shared" si="96"/>
        <v>0</v>
      </c>
      <c r="AH228" s="279">
        <f t="shared" si="96"/>
        <v>0</v>
      </c>
      <c r="AI228" s="279">
        <f t="shared" si="96"/>
        <v>0</v>
      </c>
      <c r="AJ228" s="279">
        <f t="shared" si="96"/>
        <v>0</v>
      </c>
      <c r="AK228" s="279">
        <f t="shared" si="96"/>
        <v>0</v>
      </c>
      <c r="AL228" s="279">
        <f t="shared" si="96"/>
        <v>0</v>
      </c>
      <c r="AM228" s="279">
        <f t="shared" si="96"/>
        <v>0</v>
      </c>
      <c r="AN228" s="279">
        <f t="shared" si="96"/>
        <v>0</v>
      </c>
      <c r="AO228" s="279">
        <f t="shared" si="96"/>
        <v>0</v>
      </c>
      <c r="AP228" s="279">
        <f t="shared" si="96"/>
        <v>0</v>
      </c>
      <c r="AQ228" s="280">
        <f t="shared" si="96"/>
        <v>0</v>
      </c>
      <c r="AR228"/>
    </row>
    <row r="229" spans="1:57" s="258" customFormat="1" ht="14.4" hidden="1">
      <c r="A229" s="314" t="s">
        <v>341</v>
      </c>
      <c r="B229" s="315"/>
      <c r="C229" s="316"/>
      <c r="D229" s="281" t="e">
        <f t="shared" ref="D229:AQ229" si="97">(D228)/SUM($D$5:$G$5)*100</f>
        <v>#DIV/0!</v>
      </c>
      <c r="E229" s="281" t="e">
        <f t="shared" si="97"/>
        <v>#DIV/0!</v>
      </c>
      <c r="F229" s="281" t="e">
        <f t="shared" si="97"/>
        <v>#DIV/0!</v>
      </c>
      <c r="G229" s="281" t="e">
        <f t="shared" si="97"/>
        <v>#DIV/0!</v>
      </c>
      <c r="H229" s="281" t="e">
        <f t="shared" si="97"/>
        <v>#DIV/0!</v>
      </c>
      <c r="I229" s="281" t="e">
        <f t="shared" si="97"/>
        <v>#DIV/0!</v>
      </c>
      <c r="J229" s="281" t="e">
        <f t="shared" si="97"/>
        <v>#DIV/0!</v>
      </c>
      <c r="K229" s="281" t="e">
        <f t="shared" si="97"/>
        <v>#DIV/0!</v>
      </c>
      <c r="L229" s="281" t="e">
        <f t="shared" si="97"/>
        <v>#DIV/0!</v>
      </c>
      <c r="M229" s="281" t="e">
        <f t="shared" si="97"/>
        <v>#DIV/0!</v>
      </c>
      <c r="N229" s="281" t="e">
        <f t="shared" si="97"/>
        <v>#DIV/0!</v>
      </c>
      <c r="O229" s="281" t="e">
        <f t="shared" si="97"/>
        <v>#DIV/0!</v>
      </c>
      <c r="P229" s="281" t="e">
        <f t="shared" si="97"/>
        <v>#DIV/0!</v>
      </c>
      <c r="Q229" s="281" t="e">
        <f t="shared" si="97"/>
        <v>#DIV/0!</v>
      </c>
      <c r="R229" s="281" t="e">
        <f t="shared" si="97"/>
        <v>#DIV/0!</v>
      </c>
      <c r="S229" s="281" t="e">
        <f t="shared" si="97"/>
        <v>#DIV/0!</v>
      </c>
      <c r="T229" s="281" t="e">
        <f t="shared" si="97"/>
        <v>#DIV/0!</v>
      </c>
      <c r="U229" s="281" t="e">
        <f t="shared" si="97"/>
        <v>#DIV/0!</v>
      </c>
      <c r="V229" s="281" t="e">
        <f t="shared" si="97"/>
        <v>#DIV/0!</v>
      </c>
      <c r="W229" s="281" t="e">
        <f t="shared" si="97"/>
        <v>#DIV/0!</v>
      </c>
      <c r="X229" s="281" t="e">
        <f t="shared" si="97"/>
        <v>#DIV/0!</v>
      </c>
      <c r="Y229" s="281" t="e">
        <f t="shared" si="97"/>
        <v>#DIV/0!</v>
      </c>
      <c r="Z229" s="281" t="e">
        <f t="shared" si="97"/>
        <v>#DIV/0!</v>
      </c>
      <c r="AA229" s="281" t="e">
        <f t="shared" si="97"/>
        <v>#DIV/0!</v>
      </c>
      <c r="AB229" s="281" t="e">
        <f t="shared" si="97"/>
        <v>#DIV/0!</v>
      </c>
      <c r="AC229" s="281" t="e">
        <f t="shared" si="97"/>
        <v>#DIV/0!</v>
      </c>
      <c r="AD229" s="281" t="e">
        <f t="shared" si="97"/>
        <v>#DIV/0!</v>
      </c>
      <c r="AE229" s="281" t="e">
        <f t="shared" si="97"/>
        <v>#DIV/0!</v>
      </c>
      <c r="AF229" s="281" t="e">
        <f t="shared" si="97"/>
        <v>#DIV/0!</v>
      </c>
      <c r="AG229" s="281" t="e">
        <f t="shared" si="97"/>
        <v>#DIV/0!</v>
      </c>
      <c r="AH229" s="281" t="e">
        <f t="shared" si="97"/>
        <v>#DIV/0!</v>
      </c>
      <c r="AI229" s="281" t="e">
        <f t="shared" si="97"/>
        <v>#DIV/0!</v>
      </c>
      <c r="AJ229" s="281" t="e">
        <f t="shared" si="97"/>
        <v>#DIV/0!</v>
      </c>
      <c r="AK229" s="281" t="e">
        <f t="shared" si="97"/>
        <v>#DIV/0!</v>
      </c>
      <c r="AL229" s="281" t="e">
        <f t="shared" si="97"/>
        <v>#DIV/0!</v>
      </c>
      <c r="AM229" s="281" t="e">
        <f t="shared" si="97"/>
        <v>#DIV/0!</v>
      </c>
      <c r="AN229" s="281" t="e">
        <f t="shared" si="97"/>
        <v>#DIV/0!</v>
      </c>
      <c r="AO229" s="281" t="e">
        <f t="shared" si="97"/>
        <v>#DIV/0!</v>
      </c>
      <c r="AP229" s="281" t="e">
        <f t="shared" si="97"/>
        <v>#DIV/0!</v>
      </c>
      <c r="AQ229" s="282" t="e">
        <f t="shared" si="97"/>
        <v>#DIV/0!</v>
      </c>
      <c r="AR229"/>
    </row>
    <row r="230" spans="1:57" s="258" customFormat="1" ht="15" hidden="1" thickBot="1">
      <c r="A230" s="317" t="s">
        <v>341</v>
      </c>
      <c r="B230" s="318"/>
      <c r="C230" s="319"/>
      <c r="D230" s="283" t="str">
        <f t="shared" ref="D230:AQ230" si="98">IFERROR(D229,"")</f>
        <v/>
      </c>
      <c r="E230" s="284" t="str">
        <f t="shared" si="98"/>
        <v/>
      </c>
      <c r="F230" s="284" t="str">
        <f t="shared" si="98"/>
        <v/>
      </c>
      <c r="G230" s="284" t="str">
        <f t="shared" si="98"/>
        <v/>
      </c>
      <c r="H230" s="284" t="str">
        <f t="shared" si="98"/>
        <v/>
      </c>
      <c r="I230" s="284" t="str">
        <f t="shared" si="98"/>
        <v/>
      </c>
      <c r="J230" s="284" t="str">
        <f t="shared" si="98"/>
        <v/>
      </c>
      <c r="K230" s="284" t="str">
        <f t="shared" si="98"/>
        <v/>
      </c>
      <c r="L230" s="284" t="str">
        <f t="shared" si="98"/>
        <v/>
      </c>
      <c r="M230" s="284" t="str">
        <f t="shared" si="98"/>
        <v/>
      </c>
      <c r="N230" s="284" t="str">
        <f t="shared" si="98"/>
        <v/>
      </c>
      <c r="O230" s="284" t="str">
        <f t="shared" si="98"/>
        <v/>
      </c>
      <c r="P230" s="284" t="str">
        <f t="shared" si="98"/>
        <v/>
      </c>
      <c r="Q230" s="284" t="str">
        <f t="shared" si="98"/>
        <v/>
      </c>
      <c r="R230" s="284" t="str">
        <f t="shared" si="98"/>
        <v/>
      </c>
      <c r="S230" s="284" t="str">
        <f t="shared" si="98"/>
        <v/>
      </c>
      <c r="T230" s="284" t="str">
        <f t="shared" si="98"/>
        <v/>
      </c>
      <c r="U230" s="284" t="str">
        <f t="shared" si="98"/>
        <v/>
      </c>
      <c r="V230" s="284" t="str">
        <f t="shared" si="98"/>
        <v/>
      </c>
      <c r="W230" s="284" t="str">
        <f t="shared" si="98"/>
        <v/>
      </c>
      <c r="X230" s="284" t="str">
        <f t="shared" si="98"/>
        <v/>
      </c>
      <c r="Y230" s="284" t="str">
        <f t="shared" si="98"/>
        <v/>
      </c>
      <c r="Z230" s="284" t="str">
        <f t="shared" si="98"/>
        <v/>
      </c>
      <c r="AA230" s="284" t="str">
        <f t="shared" si="98"/>
        <v/>
      </c>
      <c r="AB230" s="284" t="str">
        <f t="shared" si="98"/>
        <v/>
      </c>
      <c r="AC230" s="284" t="str">
        <f t="shared" si="98"/>
        <v/>
      </c>
      <c r="AD230" s="284" t="str">
        <f t="shared" si="98"/>
        <v/>
      </c>
      <c r="AE230" s="284" t="str">
        <f t="shared" si="98"/>
        <v/>
      </c>
      <c r="AF230" s="284" t="str">
        <f t="shared" si="98"/>
        <v/>
      </c>
      <c r="AG230" s="284" t="str">
        <f t="shared" si="98"/>
        <v/>
      </c>
      <c r="AH230" s="284" t="str">
        <f t="shared" si="98"/>
        <v/>
      </c>
      <c r="AI230" s="284" t="str">
        <f t="shared" si="98"/>
        <v/>
      </c>
      <c r="AJ230" s="284" t="str">
        <f t="shared" si="98"/>
        <v/>
      </c>
      <c r="AK230" s="284" t="str">
        <f t="shared" si="98"/>
        <v/>
      </c>
      <c r="AL230" s="284" t="str">
        <f t="shared" si="98"/>
        <v/>
      </c>
      <c r="AM230" s="284" t="str">
        <f t="shared" si="98"/>
        <v/>
      </c>
      <c r="AN230" s="284" t="str">
        <f t="shared" si="98"/>
        <v/>
      </c>
      <c r="AO230" s="284" t="str">
        <f t="shared" si="98"/>
        <v/>
      </c>
      <c r="AP230" s="284" t="str">
        <f t="shared" si="98"/>
        <v/>
      </c>
      <c r="AQ230" s="285" t="str">
        <f t="shared" si="98"/>
        <v/>
      </c>
      <c r="AR230"/>
    </row>
    <row r="231" spans="1:57" hidden="1">
      <c r="B231"/>
      <c r="C231"/>
      <c r="D231"/>
      <c r="E231"/>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row>
    <row r="232" spans="1:57" s="258" customFormat="1" ht="14.4" hidden="1"/>
    <row r="233" spans="1:57" s="258" customFormat="1" ht="14.4" hidden="1">
      <c r="A233" s="320" t="s">
        <v>41</v>
      </c>
      <c r="B233" s="320"/>
      <c r="C233" s="321"/>
      <c r="E233" s="286" t="e">
        <f t="shared" ref="E233:AQ233" si="99">IF(S163="",NA(),S163*(-10))</f>
        <v>#N/A</v>
      </c>
      <c r="F233" s="286" t="e">
        <f t="shared" si="99"/>
        <v>#N/A</v>
      </c>
      <c r="G233" s="286" t="e">
        <f t="shared" si="99"/>
        <v>#N/A</v>
      </c>
      <c r="H233" s="286" t="e">
        <f t="shared" si="99"/>
        <v>#N/A</v>
      </c>
      <c r="I233" s="286" t="e">
        <f t="shared" si="99"/>
        <v>#N/A</v>
      </c>
      <c r="J233" s="286" t="e">
        <f t="shared" si="99"/>
        <v>#N/A</v>
      </c>
      <c r="K233" s="286" t="e">
        <f t="shared" si="99"/>
        <v>#N/A</v>
      </c>
      <c r="L233" s="286" t="e">
        <f t="shared" si="99"/>
        <v>#N/A</v>
      </c>
      <c r="M233" s="286" t="e">
        <f t="shared" si="99"/>
        <v>#N/A</v>
      </c>
      <c r="N233" s="286" t="e">
        <f t="shared" si="99"/>
        <v>#N/A</v>
      </c>
      <c r="O233" s="286" t="e">
        <f t="shared" si="99"/>
        <v>#N/A</v>
      </c>
      <c r="P233" s="286" t="e">
        <f t="shared" si="99"/>
        <v>#N/A</v>
      </c>
      <c r="Q233" s="286" t="e">
        <f t="shared" si="99"/>
        <v>#N/A</v>
      </c>
      <c r="R233" s="286" t="e">
        <f t="shared" si="99"/>
        <v>#N/A</v>
      </c>
      <c r="S233" s="286" t="e">
        <f t="shared" si="99"/>
        <v>#N/A</v>
      </c>
      <c r="T233" s="286" t="e">
        <f t="shared" si="99"/>
        <v>#N/A</v>
      </c>
      <c r="U233" s="286" t="e">
        <f t="shared" si="99"/>
        <v>#N/A</v>
      </c>
      <c r="V233" s="286" t="e">
        <f t="shared" si="99"/>
        <v>#N/A</v>
      </c>
      <c r="W233" s="286" t="e">
        <f t="shared" si="99"/>
        <v>#N/A</v>
      </c>
      <c r="X233" s="286" t="e">
        <f t="shared" si="99"/>
        <v>#N/A</v>
      </c>
      <c r="Y233" s="286" t="e">
        <f t="shared" si="99"/>
        <v>#N/A</v>
      </c>
      <c r="Z233" s="286" t="e">
        <f t="shared" si="99"/>
        <v>#N/A</v>
      </c>
      <c r="AA233" s="286" t="e">
        <f t="shared" si="99"/>
        <v>#N/A</v>
      </c>
      <c r="AB233" s="286" t="e">
        <f t="shared" si="99"/>
        <v>#N/A</v>
      </c>
      <c r="AC233" s="286" t="e">
        <f t="shared" si="99"/>
        <v>#N/A</v>
      </c>
      <c r="AD233" s="286" t="e">
        <f t="shared" si="99"/>
        <v>#N/A</v>
      </c>
      <c r="AE233" s="286" t="e">
        <f t="shared" si="99"/>
        <v>#N/A</v>
      </c>
      <c r="AF233" s="286" t="e">
        <f t="shared" si="99"/>
        <v>#N/A</v>
      </c>
      <c r="AG233" s="286" t="e">
        <f t="shared" si="99"/>
        <v>#N/A</v>
      </c>
      <c r="AH233" s="286" t="e">
        <f t="shared" si="99"/>
        <v>#N/A</v>
      </c>
      <c r="AI233" s="286" t="e">
        <f t="shared" si="99"/>
        <v>#N/A</v>
      </c>
      <c r="AJ233" s="286" t="e">
        <f t="shared" si="99"/>
        <v>#N/A</v>
      </c>
      <c r="AK233" s="286" t="e">
        <f t="shared" si="99"/>
        <v>#N/A</v>
      </c>
      <c r="AL233" s="286" t="e">
        <f t="shared" si="99"/>
        <v>#N/A</v>
      </c>
      <c r="AM233" s="286" t="e">
        <f t="shared" si="99"/>
        <v>#N/A</v>
      </c>
      <c r="AN233" s="286" t="e">
        <f t="shared" si="99"/>
        <v>#N/A</v>
      </c>
      <c r="AO233" s="286" t="e">
        <f t="shared" si="99"/>
        <v>#N/A</v>
      </c>
      <c r="AP233" s="286" t="e">
        <f t="shared" si="99"/>
        <v>#N/A</v>
      </c>
      <c r="AQ233" s="286" t="e">
        <f t="shared" si="99"/>
        <v>#N/A</v>
      </c>
    </row>
    <row r="234" spans="1:57" s="258" customFormat="1" ht="14.4" hidden="1">
      <c r="A234" s="287"/>
      <c r="B234" s="301" t="s">
        <v>32</v>
      </c>
      <c r="C234" s="303"/>
      <c r="E234" s="288" t="e">
        <f t="shared" ref="E234:AQ234" si="100">IF(S163="",NA(),ROUND(1443/(1443+E233),4))</f>
        <v>#N/A</v>
      </c>
      <c r="F234" s="288" t="e">
        <f t="shared" si="100"/>
        <v>#N/A</v>
      </c>
      <c r="G234" s="288" t="e">
        <f t="shared" si="100"/>
        <v>#N/A</v>
      </c>
      <c r="H234" s="288" t="e">
        <f t="shared" si="100"/>
        <v>#N/A</v>
      </c>
      <c r="I234" s="288" t="e">
        <f t="shared" si="100"/>
        <v>#N/A</v>
      </c>
      <c r="J234" s="288" t="e">
        <f t="shared" si="100"/>
        <v>#N/A</v>
      </c>
      <c r="K234" s="288" t="e">
        <f t="shared" si="100"/>
        <v>#N/A</v>
      </c>
      <c r="L234" s="288" t="e">
        <f t="shared" si="100"/>
        <v>#N/A</v>
      </c>
      <c r="M234" s="288" t="e">
        <f t="shared" si="100"/>
        <v>#N/A</v>
      </c>
      <c r="N234" s="288" t="e">
        <f t="shared" si="100"/>
        <v>#N/A</v>
      </c>
      <c r="O234" s="288" t="e">
        <f t="shared" si="100"/>
        <v>#N/A</v>
      </c>
      <c r="P234" s="288" t="e">
        <f t="shared" si="100"/>
        <v>#N/A</v>
      </c>
      <c r="Q234" s="288" t="e">
        <f t="shared" si="100"/>
        <v>#N/A</v>
      </c>
      <c r="R234" s="288" t="e">
        <f t="shared" si="100"/>
        <v>#N/A</v>
      </c>
      <c r="S234" s="288" t="e">
        <f t="shared" si="100"/>
        <v>#N/A</v>
      </c>
      <c r="T234" s="288" t="e">
        <f t="shared" si="100"/>
        <v>#N/A</v>
      </c>
      <c r="U234" s="288" t="e">
        <f t="shared" si="100"/>
        <v>#N/A</v>
      </c>
      <c r="V234" s="288" t="e">
        <f t="shared" si="100"/>
        <v>#N/A</v>
      </c>
      <c r="W234" s="288" t="e">
        <f t="shared" si="100"/>
        <v>#N/A</v>
      </c>
      <c r="X234" s="288" t="e">
        <f t="shared" si="100"/>
        <v>#N/A</v>
      </c>
      <c r="Y234" s="288" t="e">
        <f t="shared" si="100"/>
        <v>#N/A</v>
      </c>
      <c r="Z234" s="288" t="e">
        <f t="shared" si="100"/>
        <v>#N/A</v>
      </c>
      <c r="AA234" s="288" t="e">
        <f t="shared" si="100"/>
        <v>#N/A</v>
      </c>
      <c r="AB234" s="288" t="e">
        <f t="shared" si="100"/>
        <v>#N/A</v>
      </c>
      <c r="AC234" s="288" t="e">
        <f t="shared" si="100"/>
        <v>#N/A</v>
      </c>
      <c r="AD234" s="288" t="e">
        <f t="shared" si="100"/>
        <v>#N/A</v>
      </c>
      <c r="AE234" s="288" t="e">
        <f t="shared" si="100"/>
        <v>#N/A</v>
      </c>
      <c r="AF234" s="288" t="e">
        <f t="shared" si="100"/>
        <v>#N/A</v>
      </c>
      <c r="AG234" s="288" t="e">
        <f t="shared" si="100"/>
        <v>#N/A</v>
      </c>
      <c r="AH234" s="288" t="e">
        <f t="shared" si="100"/>
        <v>#N/A</v>
      </c>
      <c r="AI234" s="288" t="e">
        <f t="shared" si="100"/>
        <v>#N/A</v>
      </c>
      <c r="AJ234" s="288" t="e">
        <f t="shared" si="100"/>
        <v>#N/A</v>
      </c>
      <c r="AK234" s="288" t="e">
        <f t="shared" si="100"/>
        <v>#N/A</v>
      </c>
      <c r="AL234" s="288" t="e">
        <f t="shared" si="100"/>
        <v>#N/A</v>
      </c>
      <c r="AM234" s="288" t="e">
        <f t="shared" si="100"/>
        <v>#N/A</v>
      </c>
      <c r="AN234" s="288" t="e">
        <f t="shared" si="100"/>
        <v>#N/A</v>
      </c>
      <c r="AO234" s="288" t="e">
        <f t="shared" si="100"/>
        <v>#N/A</v>
      </c>
      <c r="AP234" s="288" t="e">
        <f t="shared" si="100"/>
        <v>#N/A</v>
      </c>
      <c r="AQ234" s="288" t="e">
        <f t="shared" si="100"/>
        <v>#N/A</v>
      </c>
    </row>
    <row r="235" spans="1:57" s="258" customFormat="1" ht="14.4" hidden="1">
      <c r="A235" s="287"/>
      <c r="B235" s="301" t="s">
        <v>33</v>
      </c>
      <c r="C235" s="303"/>
      <c r="E235" s="288">
        <f>IF(E222="",NA(),IFERROR(E222*VLOOKUP(E222,'各種計算式等（配付時非表示）'!$E$3:$H$1003,3,TRUE)+VLOOKUP(E222,'各種計算式等（配付時非表示）'!$E$3:$H$1003,4,TRUE)+0.0000000001,"-"))</f>
        <v>1.0000000001</v>
      </c>
      <c r="F235" s="288">
        <f>IF(F222="",NA(),IFERROR(F222*VLOOKUP(F222,'各種計算式等（配付時非表示）'!$E$3:$H$1003,3,TRUE)+VLOOKUP(F222,'各種計算式等（配付時非表示）'!$E$3:$H$1003,4,TRUE)+0.0000000001,"-"))</f>
        <v>1.0000000001</v>
      </c>
      <c r="G235" s="288">
        <f>IF(G222="",NA(),IFERROR(G222*VLOOKUP(G222,'各種計算式等（配付時非表示）'!$E$3:$H$1003,3,TRUE)+VLOOKUP(G222,'各種計算式等（配付時非表示）'!$E$3:$H$1003,4,TRUE)+0.0000000001,"-"))</f>
        <v>1.0000000001</v>
      </c>
      <c r="H235" s="288">
        <f>IF(H222="",NA(),IFERROR(H222*VLOOKUP(H222,'各種計算式等（配付時非表示）'!$E$3:$H$1003,3,TRUE)+VLOOKUP(H222,'各種計算式等（配付時非表示）'!$E$3:$H$1003,4,TRUE)+0.0000000001,"-"))</f>
        <v>1.0000000001</v>
      </c>
      <c r="I235" s="288">
        <f>IF(I222="",NA(),IFERROR(I222*VLOOKUP(I222,'各種計算式等（配付時非表示）'!$E$3:$H$1003,3,TRUE)+VLOOKUP(I222,'各種計算式等（配付時非表示）'!$E$3:$H$1003,4,TRUE)+0.0000000001,"-"))</f>
        <v>1.0000000001</v>
      </c>
      <c r="J235" s="288">
        <f>IF(J222="",NA(),IFERROR(J222*VLOOKUP(J222,'各種計算式等（配付時非表示）'!$E$3:$H$1003,3,TRUE)+VLOOKUP(J222,'各種計算式等（配付時非表示）'!$E$3:$H$1003,4,TRUE)+0.0000000001,"-"))</f>
        <v>1.0000000001</v>
      </c>
      <c r="K235" s="288">
        <f>IF(K222="",NA(),IFERROR(K222*VLOOKUP(K222,'各種計算式等（配付時非表示）'!$E$3:$H$1003,3,TRUE)+VLOOKUP(K222,'各種計算式等（配付時非表示）'!$E$3:$H$1003,4,TRUE)+0.0000000001,"-"))</f>
        <v>1.0000000001</v>
      </c>
      <c r="L235" s="288">
        <f>IF(L222="",NA(),IFERROR(L222*VLOOKUP(L222,'各種計算式等（配付時非表示）'!$E$3:$H$1003,3,TRUE)+VLOOKUP(L222,'各種計算式等（配付時非表示）'!$E$3:$H$1003,4,TRUE)+0.0000000001,"-"))</f>
        <v>1.0000000001</v>
      </c>
      <c r="M235" s="288">
        <f>IF(M222="",NA(),IFERROR(M222*VLOOKUP(M222,'各種計算式等（配付時非表示）'!$E$3:$H$1003,3,TRUE)+VLOOKUP(M222,'各種計算式等（配付時非表示）'!$E$3:$H$1003,4,TRUE)+0.0000000001,"-"))</f>
        <v>1.0000000001</v>
      </c>
      <c r="N235" s="288">
        <f>IF(N222="",NA(),IFERROR(N222*VLOOKUP(N222,'各種計算式等（配付時非表示）'!$E$3:$H$1003,3,TRUE)+VLOOKUP(N222,'各種計算式等（配付時非表示）'!$E$3:$H$1003,4,TRUE)+0.0000000001,"-"))</f>
        <v>1.0000000001</v>
      </c>
      <c r="O235" s="288">
        <f>IF(O222="",NA(),IFERROR(O222*VLOOKUP(O222,'各種計算式等（配付時非表示）'!$E$3:$H$1003,3,TRUE)+VLOOKUP(O222,'各種計算式等（配付時非表示）'!$E$3:$H$1003,4,TRUE)+0.0000000001,"-"))</f>
        <v>1.0000000001</v>
      </c>
      <c r="P235" s="288">
        <f>IF(P222="",NA(),IFERROR(P222*VLOOKUP(P222,'各種計算式等（配付時非表示）'!$E$3:$H$1003,3,TRUE)+VLOOKUP(P222,'各種計算式等（配付時非表示）'!$E$3:$H$1003,4,TRUE)+0.0000000001,"-"))</f>
        <v>1.0000000001</v>
      </c>
      <c r="Q235" s="288">
        <f>IF(Q222="",NA(),IFERROR(Q222*VLOOKUP(Q222,'各種計算式等（配付時非表示）'!$E$3:$H$1003,3,TRUE)+VLOOKUP(Q222,'各種計算式等（配付時非表示）'!$E$3:$H$1003,4,TRUE)+0.0000000001,"-"))</f>
        <v>1.0000000001</v>
      </c>
      <c r="R235" s="288">
        <f>IF(R222="",NA(),IFERROR(R222*VLOOKUP(R222,'各種計算式等（配付時非表示）'!$E$3:$H$1003,3,TRUE)+VLOOKUP(R222,'各種計算式等（配付時非表示）'!$E$3:$H$1003,4,TRUE)+0.0000000001,"-"))</f>
        <v>1.0000000001</v>
      </c>
      <c r="S235" s="288">
        <f>IF(S222="",NA(),IFERROR(S222*VLOOKUP(S222,'各種計算式等（配付時非表示）'!$E$3:$H$1003,3,TRUE)+VLOOKUP(S222,'各種計算式等（配付時非表示）'!$E$3:$H$1003,4,TRUE)+0.0000000001,"-"))</f>
        <v>1.0000000001</v>
      </c>
      <c r="T235" s="288">
        <f>IF(T222="",NA(),IFERROR(T222*VLOOKUP(T222,'各種計算式等（配付時非表示）'!$E$3:$H$1003,3,TRUE)+VLOOKUP(T222,'各種計算式等（配付時非表示）'!$E$3:$H$1003,4,TRUE)+0.0000000001,"-"))</f>
        <v>1.0000000001</v>
      </c>
      <c r="U235" s="288">
        <f>IF(U222="",NA(),IFERROR(U222*VLOOKUP(U222,'各種計算式等（配付時非表示）'!$E$3:$H$1003,3,TRUE)+VLOOKUP(U222,'各種計算式等（配付時非表示）'!$E$3:$H$1003,4,TRUE)+0.0000000001,"-"))</f>
        <v>1.0000000001</v>
      </c>
      <c r="V235" s="288">
        <f>IF(V222="",NA(),IFERROR(V222*VLOOKUP(V222,'各種計算式等（配付時非表示）'!$E$3:$H$1003,3,TRUE)+VLOOKUP(V222,'各種計算式等（配付時非表示）'!$E$3:$H$1003,4,TRUE)+0.0000000001,"-"))</f>
        <v>1.0000000001</v>
      </c>
      <c r="W235" s="288">
        <f>IF(W222="",NA(),IFERROR(W222*VLOOKUP(W222,'各種計算式等（配付時非表示）'!$E$3:$H$1003,3,TRUE)+VLOOKUP(W222,'各種計算式等（配付時非表示）'!$E$3:$H$1003,4,TRUE)+0.0000000001,"-"))</f>
        <v>1.0000000001</v>
      </c>
      <c r="X235" s="288">
        <f>IF(X222="",NA(),IFERROR(X222*VLOOKUP(X222,'各種計算式等（配付時非表示）'!$E$3:$H$1003,3,TRUE)+VLOOKUP(X222,'各種計算式等（配付時非表示）'!$E$3:$H$1003,4,TRUE)+0.0000000001,"-"))</f>
        <v>1.0000000001</v>
      </c>
      <c r="Y235" s="288">
        <f>IF(Y222="",NA(),IFERROR(Y222*VLOOKUP(Y222,'各種計算式等（配付時非表示）'!$E$3:$H$1003,3,TRUE)+VLOOKUP(Y222,'各種計算式等（配付時非表示）'!$E$3:$H$1003,4,TRUE)+0.0000000001,"-"))</f>
        <v>1.0000000001</v>
      </c>
      <c r="Z235" s="288">
        <f>IF(Z222="",NA(),IFERROR(Z222*VLOOKUP(Z222,'各種計算式等（配付時非表示）'!$E$3:$H$1003,3,TRUE)+VLOOKUP(Z222,'各種計算式等（配付時非表示）'!$E$3:$H$1003,4,TRUE)+0.0000000001,"-"))</f>
        <v>1.0000000001</v>
      </c>
      <c r="AA235" s="288">
        <f>IF(AA222="",NA(),IFERROR(AA222*VLOOKUP(AA222,'各種計算式等（配付時非表示）'!$E$3:$H$1003,3,TRUE)+VLOOKUP(AA222,'各種計算式等（配付時非表示）'!$E$3:$H$1003,4,TRUE)+0.0000000001,"-"))</f>
        <v>1.0000000001</v>
      </c>
      <c r="AB235" s="288">
        <f>IF(AB222="",NA(),IFERROR(AB222*VLOOKUP(AB222,'各種計算式等（配付時非表示）'!$E$3:$H$1003,3,TRUE)+VLOOKUP(AB222,'各種計算式等（配付時非表示）'!$E$3:$H$1003,4,TRUE)+0.0000000001,"-"))</f>
        <v>1.0000000001</v>
      </c>
      <c r="AC235" s="288">
        <f>IF(AC222="",NA(),IFERROR(AC222*VLOOKUP(AC222,'各種計算式等（配付時非表示）'!$E$3:$H$1003,3,TRUE)+VLOOKUP(AC222,'各種計算式等（配付時非表示）'!$E$3:$H$1003,4,TRUE)+0.0000000001,"-"))</f>
        <v>1.0000000001</v>
      </c>
      <c r="AD235" s="288">
        <f>IF(AD222="",NA(),IFERROR(AD222*VLOOKUP(AD222,'各種計算式等（配付時非表示）'!$E$3:$H$1003,3,TRUE)+VLOOKUP(AD222,'各種計算式等（配付時非表示）'!$E$3:$H$1003,4,TRUE)+0.0000000001,"-"))</f>
        <v>1.0000000001</v>
      </c>
      <c r="AE235" s="288">
        <f>IF(AE222="",NA(),IFERROR(AE222*VLOOKUP(AE222,'各種計算式等（配付時非表示）'!$E$3:$H$1003,3,TRUE)+VLOOKUP(AE222,'各種計算式等（配付時非表示）'!$E$3:$H$1003,4,TRUE)+0.0000000001,"-"))</f>
        <v>1.0000000001</v>
      </c>
      <c r="AF235" s="288">
        <f>IF(AF222="",NA(),IFERROR(AF222*VLOOKUP(AF222,'各種計算式等（配付時非表示）'!$E$3:$H$1003,3,TRUE)+VLOOKUP(AF222,'各種計算式等（配付時非表示）'!$E$3:$H$1003,4,TRUE)+0.0000000001,"-"))</f>
        <v>1.0000000001</v>
      </c>
      <c r="AG235" s="288">
        <f>IF(AG222="",NA(),IFERROR(AG222*VLOOKUP(AG222,'各種計算式等（配付時非表示）'!$E$3:$H$1003,3,TRUE)+VLOOKUP(AG222,'各種計算式等（配付時非表示）'!$E$3:$H$1003,4,TRUE)+0.0000000001,"-"))</f>
        <v>1.0000000001</v>
      </c>
      <c r="AH235" s="288">
        <f>IF(AH222="",NA(),IFERROR(AH222*VLOOKUP(AH222,'各種計算式等（配付時非表示）'!$E$3:$H$1003,3,TRUE)+VLOOKUP(AH222,'各種計算式等（配付時非表示）'!$E$3:$H$1003,4,TRUE)+0.0000000001,"-"))</f>
        <v>1.0000000001</v>
      </c>
      <c r="AI235" s="288">
        <f>IF(AI222="",NA(),IFERROR(AI222*VLOOKUP(AI222,'各種計算式等（配付時非表示）'!$E$3:$H$1003,3,TRUE)+VLOOKUP(AI222,'各種計算式等（配付時非表示）'!$E$3:$H$1003,4,TRUE)+0.0000000001,"-"))</f>
        <v>1.0000000001</v>
      </c>
      <c r="AJ235" s="288">
        <f>IF(AJ222="",NA(),IFERROR(AJ222*VLOOKUP(AJ222,'各種計算式等（配付時非表示）'!$E$3:$H$1003,3,TRUE)+VLOOKUP(AJ222,'各種計算式等（配付時非表示）'!$E$3:$H$1003,4,TRUE)+0.0000000001,"-"))</f>
        <v>1.0000000001</v>
      </c>
      <c r="AK235" s="288">
        <f>IF(AK222="",NA(),IFERROR(AK222*VLOOKUP(AK222,'各種計算式等（配付時非表示）'!$E$3:$H$1003,3,TRUE)+VLOOKUP(AK222,'各種計算式等（配付時非表示）'!$E$3:$H$1003,4,TRUE)+0.0000000001,"-"))</f>
        <v>1.0000000001</v>
      </c>
      <c r="AL235" s="288">
        <f>IF(AL222="",NA(),IFERROR(AL222*VLOOKUP(AL222,'各種計算式等（配付時非表示）'!$E$3:$H$1003,3,TRUE)+VLOOKUP(AL222,'各種計算式等（配付時非表示）'!$E$3:$H$1003,4,TRUE)+0.0000000001,"-"))</f>
        <v>1.0000000001</v>
      </c>
      <c r="AM235" s="288">
        <f>IF(AM222="",NA(),IFERROR(AM222*VLOOKUP(AM222,'各種計算式等（配付時非表示）'!$E$3:$H$1003,3,TRUE)+VLOOKUP(AM222,'各種計算式等（配付時非表示）'!$E$3:$H$1003,4,TRUE)+0.0000000001,"-"))</f>
        <v>1.0000000001</v>
      </c>
      <c r="AN235" s="288">
        <f>IF(AN222="",NA(),IFERROR(AN222*VLOOKUP(AN222,'各種計算式等（配付時非表示）'!$E$3:$H$1003,3,TRUE)+VLOOKUP(AN222,'各種計算式等（配付時非表示）'!$E$3:$H$1003,4,TRUE)+0.0000000001,"-"))</f>
        <v>1.0000000001</v>
      </c>
      <c r="AO235" s="288">
        <f>IF(AO222="",NA(),IFERROR(AO222*VLOOKUP(AO222,'各種計算式等（配付時非表示）'!$E$3:$H$1003,3,TRUE)+VLOOKUP(AO222,'各種計算式等（配付時非表示）'!$E$3:$H$1003,4,TRUE)+0.0000000001,"-"))</f>
        <v>1.0000000001</v>
      </c>
      <c r="AP235" s="288">
        <f>IF(AP222="",NA(),IFERROR(AP222*VLOOKUP(AP222,'各種計算式等（配付時非表示）'!$E$3:$H$1003,3,TRUE)+VLOOKUP(AP222,'各種計算式等（配付時非表示）'!$E$3:$H$1003,4,TRUE)+0.0000000001,"-"))</f>
        <v>1.0000000001</v>
      </c>
      <c r="AQ235" s="288">
        <f>IF(AQ222="",NA(),IFERROR(AQ222*VLOOKUP(AQ222,'各種計算式等（配付時非表示）'!$E$3:$H$1003,3,TRUE)+VLOOKUP(AQ222,'各種計算式等（配付時非表示）'!$E$3:$H$1003,4,TRUE)+0.0000000001,"-"))</f>
        <v>1.0000000001</v>
      </c>
    </row>
    <row r="236" spans="1:57" s="258" customFormat="1" ht="14.4" hidden="1">
      <c r="A236" s="301" t="s">
        <v>3</v>
      </c>
      <c r="B236" s="301"/>
      <c r="C236" s="301"/>
      <c r="D236" s="258" t="s">
        <v>373</v>
      </c>
      <c r="E236" s="289" t="e">
        <f>IFERROR((E234-E235)*260+0.21,NA())</f>
        <v>#N/A</v>
      </c>
      <c r="F236" s="289" t="e">
        <f t="shared" ref="F236:AQ236" si="101">IFERROR((F234-F235)*260+0.21,NA())</f>
        <v>#N/A</v>
      </c>
      <c r="G236" s="289" t="e">
        <f t="shared" si="101"/>
        <v>#N/A</v>
      </c>
      <c r="H236" s="289" t="e">
        <f t="shared" si="101"/>
        <v>#N/A</v>
      </c>
      <c r="I236" s="289" t="e">
        <f t="shared" si="101"/>
        <v>#N/A</v>
      </c>
      <c r="J236" s="289" t="e">
        <f t="shared" si="101"/>
        <v>#N/A</v>
      </c>
      <c r="K236" s="289" t="e">
        <f t="shared" si="101"/>
        <v>#N/A</v>
      </c>
      <c r="L236" s="289" t="e">
        <f t="shared" si="101"/>
        <v>#N/A</v>
      </c>
      <c r="M236" s="289" t="e">
        <f t="shared" si="101"/>
        <v>#N/A</v>
      </c>
      <c r="N236" s="289" t="e">
        <f t="shared" si="101"/>
        <v>#N/A</v>
      </c>
      <c r="O236" s="289" t="e">
        <f t="shared" si="101"/>
        <v>#N/A</v>
      </c>
      <c r="P236" s="289" t="e">
        <f t="shared" si="101"/>
        <v>#N/A</v>
      </c>
      <c r="Q236" s="289" t="e">
        <f t="shared" si="101"/>
        <v>#N/A</v>
      </c>
      <c r="R236" s="289" t="e">
        <f t="shared" si="101"/>
        <v>#N/A</v>
      </c>
      <c r="S236" s="289" t="e">
        <f t="shared" si="101"/>
        <v>#N/A</v>
      </c>
      <c r="T236" s="289" t="e">
        <f t="shared" si="101"/>
        <v>#N/A</v>
      </c>
      <c r="U236" s="289" t="e">
        <f t="shared" si="101"/>
        <v>#N/A</v>
      </c>
      <c r="V236" s="289" t="e">
        <f t="shared" si="101"/>
        <v>#N/A</v>
      </c>
      <c r="W236" s="289" t="e">
        <f t="shared" si="101"/>
        <v>#N/A</v>
      </c>
      <c r="X236" s="289" t="e">
        <f t="shared" si="101"/>
        <v>#N/A</v>
      </c>
      <c r="Y236" s="289" t="e">
        <f t="shared" si="101"/>
        <v>#N/A</v>
      </c>
      <c r="Z236" s="289" t="e">
        <f t="shared" si="101"/>
        <v>#N/A</v>
      </c>
      <c r="AA236" s="289" t="e">
        <f t="shared" si="101"/>
        <v>#N/A</v>
      </c>
      <c r="AB236" s="289" t="e">
        <f t="shared" si="101"/>
        <v>#N/A</v>
      </c>
      <c r="AC236" s="289" t="e">
        <f t="shared" si="101"/>
        <v>#N/A</v>
      </c>
      <c r="AD236" s="289" t="e">
        <f t="shared" si="101"/>
        <v>#N/A</v>
      </c>
      <c r="AE236" s="289" t="e">
        <f t="shared" si="101"/>
        <v>#N/A</v>
      </c>
      <c r="AF236" s="289" t="e">
        <f t="shared" si="101"/>
        <v>#N/A</v>
      </c>
      <c r="AG236" s="289" t="e">
        <f t="shared" si="101"/>
        <v>#N/A</v>
      </c>
      <c r="AH236" s="289" t="e">
        <f t="shared" si="101"/>
        <v>#N/A</v>
      </c>
      <c r="AI236" s="289" t="e">
        <f t="shared" si="101"/>
        <v>#N/A</v>
      </c>
      <c r="AJ236" s="289" t="e">
        <f t="shared" si="101"/>
        <v>#N/A</v>
      </c>
      <c r="AK236" s="289" t="e">
        <f t="shared" si="101"/>
        <v>#N/A</v>
      </c>
      <c r="AL236" s="289" t="e">
        <f t="shared" si="101"/>
        <v>#N/A</v>
      </c>
      <c r="AM236" s="289" t="e">
        <f t="shared" si="101"/>
        <v>#N/A</v>
      </c>
      <c r="AN236" s="289" t="e">
        <f t="shared" si="101"/>
        <v>#N/A</v>
      </c>
      <c r="AO236" s="289" t="e">
        <f t="shared" si="101"/>
        <v>#N/A</v>
      </c>
      <c r="AP236" s="289" t="e">
        <f t="shared" si="101"/>
        <v>#N/A</v>
      </c>
      <c r="AQ236" s="289" t="e">
        <f t="shared" si="101"/>
        <v>#N/A</v>
      </c>
    </row>
    <row r="237" spans="1:57" s="258" customFormat="1" ht="14.4" hidden="1">
      <c r="A237" s="301" t="s">
        <v>362</v>
      </c>
      <c r="B237" s="301"/>
      <c r="C237" s="301"/>
      <c r="D237" s="258" t="s">
        <v>373</v>
      </c>
      <c r="E237" s="290" t="e">
        <f>IF(E222=0,NA(),E222*1.5848)</f>
        <v>#N/A</v>
      </c>
      <c r="F237" s="290" t="e">
        <f t="shared" ref="F237:AQ237" si="102">IF(F222=0,NA(),F222*1.5848)</f>
        <v>#N/A</v>
      </c>
      <c r="G237" s="290" t="e">
        <f t="shared" si="102"/>
        <v>#N/A</v>
      </c>
      <c r="H237" s="290" t="e">
        <f t="shared" si="102"/>
        <v>#N/A</v>
      </c>
      <c r="I237" s="290" t="e">
        <f t="shared" si="102"/>
        <v>#N/A</v>
      </c>
      <c r="J237" s="290" t="e">
        <f t="shared" si="102"/>
        <v>#N/A</v>
      </c>
      <c r="K237" s="290" t="e">
        <f t="shared" si="102"/>
        <v>#N/A</v>
      </c>
      <c r="L237" s="290" t="e">
        <f t="shared" si="102"/>
        <v>#N/A</v>
      </c>
      <c r="M237" s="290" t="e">
        <f t="shared" si="102"/>
        <v>#N/A</v>
      </c>
      <c r="N237" s="290" t="e">
        <f t="shared" si="102"/>
        <v>#N/A</v>
      </c>
      <c r="O237" s="290" t="e">
        <f t="shared" si="102"/>
        <v>#N/A</v>
      </c>
      <c r="P237" s="290" t="e">
        <f t="shared" si="102"/>
        <v>#N/A</v>
      </c>
      <c r="Q237" s="290" t="e">
        <f t="shared" si="102"/>
        <v>#N/A</v>
      </c>
      <c r="R237" s="290" t="e">
        <f t="shared" si="102"/>
        <v>#N/A</v>
      </c>
      <c r="S237" s="290" t="e">
        <f t="shared" si="102"/>
        <v>#N/A</v>
      </c>
      <c r="T237" s="290" t="e">
        <f t="shared" si="102"/>
        <v>#N/A</v>
      </c>
      <c r="U237" s="290" t="e">
        <f t="shared" si="102"/>
        <v>#N/A</v>
      </c>
      <c r="V237" s="290" t="e">
        <f t="shared" si="102"/>
        <v>#N/A</v>
      </c>
      <c r="W237" s="290" t="e">
        <f t="shared" si="102"/>
        <v>#N/A</v>
      </c>
      <c r="X237" s="290" t="e">
        <f t="shared" si="102"/>
        <v>#N/A</v>
      </c>
      <c r="Y237" s="290" t="e">
        <f t="shared" si="102"/>
        <v>#N/A</v>
      </c>
      <c r="Z237" s="290" t="e">
        <f t="shared" si="102"/>
        <v>#N/A</v>
      </c>
      <c r="AA237" s="290" t="e">
        <f t="shared" si="102"/>
        <v>#N/A</v>
      </c>
      <c r="AB237" s="290" t="e">
        <f t="shared" si="102"/>
        <v>#N/A</v>
      </c>
      <c r="AC237" s="290" t="e">
        <f t="shared" si="102"/>
        <v>#N/A</v>
      </c>
      <c r="AD237" s="290" t="e">
        <f t="shared" si="102"/>
        <v>#N/A</v>
      </c>
      <c r="AE237" s="290" t="e">
        <f t="shared" si="102"/>
        <v>#N/A</v>
      </c>
      <c r="AF237" s="290" t="e">
        <f t="shared" si="102"/>
        <v>#N/A</v>
      </c>
      <c r="AG237" s="290" t="e">
        <f t="shared" si="102"/>
        <v>#N/A</v>
      </c>
      <c r="AH237" s="290" t="e">
        <f t="shared" si="102"/>
        <v>#N/A</v>
      </c>
      <c r="AI237" s="290" t="e">
        <f t="shared" si="102"/>
        <v>#N/A</v>
      </c>
      <c r="AJ237" s="290" t="e">
        <f t="shared" si="102"/>
        <v>#N/A</v>
      </c>
      <c r="AK237" s="290" t="e">
        <f t="shared" si="102"/>
        <v>#N/A</v>
      </c>
      <c r="AL237" s="290" t="e">
        <f t="shared" si="102"/>
        <v>#N/A</v>
      </c>
      <c r="AM237" s="290" t="e">
        <f t="shared" si="102"/>
        <v>#N/A</v>
      </c>
      <c r="AN237" s="290" t="e">
        <f t="shared" si="102"/>
        <v>#N/A</v>
      </c>
      <c r="AO237" s="290" t="e">
        <f t="shared" si="102"/>
        <v>#N/A</v>
      </c>
      <c r="AP237" s="290" t="e">
        <f t="shared" si="102"/>
        <v>#N/A</v>
      </c>
      <c r="AQ237" s="290" t="e">
        <f t="shared" si="102"/>
        <v>#N/A</v>
      </c>
    </row>
    <row r="238" spans="1:57" s="258" customFormat="1" ht="14.4" hidden="1">
      <c r="A238" s="301" t="s">
        <v>145</v>
      </c>
      <c r="B238" s="301"/>
      <c r="C238" s="301"/>
      <c r="D238" s="258" t="s">
        <v>373</v>
      </c>
      <c r="E238" s="290" t="e">
        <f>IF(E236="",NA(),E236+E237)</f>
        <v>#N/A</v>
      </c>
      <c r="F238" s="290" t="e">
        <f t="shared" ref="F238:AQ238" si="103">IF(F236="",NA(),F236+F237)</f>
        <v>#N/A</v>
      </c>
      <c r="G238" s="290" t="e">
        <f t="shared" si="103"/>
        <v>#N/A</v>
      </c>
      <c r="H238" s="290" t="e">
        <f t="shared" si="103"/>
        <v>#N/A</v>
      </c>
      <c r="I238" s="290" t="e">
        <f t="shared" si="103"/>
        <v>#N/A</v>
      </c>
      <c r="J238" s="290" t="e">
        <f t="shared" si="103"/>
        <v>#N/A</v>
      </c>
      <c r="K238" s="290" t="e">
        <f t="shared" si="103"/>
        <v>#N/A</v>
      </c>
      <c r="L238" s="290" t="e">
        <f t="shared" si="103"/>
        <v>#N/A</v>
      </c>
      <c r="M238" s="290" t="e">
        <f t="shared" si="103"/>
        <v>#N/A</v>
      </c>
      <c r="N238" s="290" t="e">
        <f t="shared" si="103"/>
        <v>#N/A</v>
      </c>
      <c r="O238" s="290" t="e">
        <f t="shared" si="103"/>
        <v>#N/A</v>
      </c>
      <c r="P238" s="290" t="e">
        <f t="shared" si="103"/>
        <v>#N/A</v>
      </c>
      <c r="Q238" s="290" t="e">
        <f t="shared" si="103"/>
        <v>#N/A</v>
      </c>
      <c r="R238" s="290" t="e">
        <f t="shared" si="103"/>
        <v>#N/A</v>
      </c>
      <c r="S238" s="290" t="e">
        <f t="shared" si="103"/>
        <v>#N/A</v>
      </c>
      <c r="T238" s="290" t="e">
        <f t="shared" si="103"/>
        <v>#N/A</v>
      </c>
      <c r="U238" s="290" t="e">
        <f t="shared" si="103"/>
        <v>#N/A</v>
      </c>
      <c r="V238" s="290" t="e">
        <f t="shared" si="103"/>
        <v>#N/A</v>
      </c>
      <c r="W238" s="290" t="e">
        <f t="shared" si="103"/>
        <v>#N/A</v>
      </c>
      <c r="X238" s="290" t="e">
        <f t="shared" si="103"/>
        <v>#N/A</v>
      </c>
      <c r="Y238" s="290" t="e">
        <f t="shared" si="103"/>
        <v>#N/A</v>
      </c>
      <c r="Z238" s="290" t="e">
        <f t="shared" si="103"/>
        <v>#N/A</v>
      </c>
      <c r="AA238" s="290" t="e">
        <f t="shared" si="103"/>
        <v>#N/A</v>
      </c>
      <c r="AB238" s="290" t="e">
        <f t="shared" si="103"/>
        <v>#N/A</v>
      </c>
      <c r="AC238" s="290" t="e">
        <f t="shared" si="103"/>
        <v>#N/A</v>
      </c>
      <c r="AD238" s="290" t="e">
        <f t="shared" si="103"/>
        <v>#N/A</v>
      </c>
      <c r="AE238" s="290" t="e">
        <f t="shared" si="103"/>
        <v>#N/A</v>
      </c>
      <c r="AF238" s="290" t="e">
        <f t="shared" si="103"/>
        <v>#N/A</v>
      </c>
      <c r="AG238" s="290" t="e">
        <f t="shared" si="103"/>
        <v>#N/A</v>
      </c>
      <c r="AH238" s="290" t="e">
        <f t="shared" si="103"/>
        <v>#N/A</v>
      </c>
      <c r="AI238" s="290" t="e">
        <f t="shared" si="103"/>
        <v>#N/A</v>
      </c>
      <c r="AJ238" s="290" t="e">
        <f t="shared" si="103"/>
        <v>#N/A</v>
      </c>
      <c r="AK238" s="290" t="e">
        <f t="shared" si="103"/>
        <v>#N/A</v>
      </c>
      <c r="AL238" s="290" t="e">
        <f t="shared" si="103"/>
        <v>#N/A</v>
      </c>
      <c r="AM238" s="290" t="e">
        <f t="shared" si="103"/>
        <v>#N/A</v>
      </c>
      <c r="AN238" s="290" t="e">
        <f t="shared" si="103"/>
        <v>#N/A</v>
      </c>
      <c r="AO238" s="290" t="e">
        <f t="shared" si="103"/>
        <v>#N/A</v>
      </c>
      <c r="AP238" s="290" t="e">
        <f t="shared" si="103"/>
        <v>#N/A</v>
      </c>
      <c r="AQ238" s="290" t="e">
        <f t="shared" si="103"/>
        <v>#N/A</v>
      </c>
    </row>
    <row r="239" spans="1:57" s="258" customFormat="1" ht="14.4" hidden="1">
      <c r="A239" s="301" t="s">
        <v>181</v>
      </c>
      <c r="B239" s="301"/>
      <c r="C239" s="301"/>
      <c r="E239" s="291" t="e">
        <f ca="1">IF(E222="",NA(),IF(E218&lt;=$B136,E222*$D139/100,IF(E218&lt;=$C136,E222*$E139/100,IF(E218&lt;=$D136,E222*$F139/100,IF(E218&lt;=$E136,E222*$G139/100,IF(E218&lt;=$F136,E222*$H139/100,IF(E218&lt;=$G136,E222*$I139/100,IF(E218&lt;=$H136,E222*$J139/100,IF(E218&lt;=$I136,E222*$K139/100,IF(E218&lt;=$J136,E222*$L139/100,IF(E218&lt;=$K136,E222*$M139/100,IF(E218&lt;=$L136,E222*$N139/100,IF(E218&lt;=$M136,E222*$O139/100,IF(E218&lt;=$N136,E222*$P139/100,IF(E218&lt;=$O136,E222*$Q139/100,IF(E218&lt;=$P136,E222*$R139/100,IF(E218&lt;=$Q136,E222*$S139/100,IF(E218&lt;=$R136,E222*$T139/100,IF(E218&lt;=$S136,E222*$U139/100,IF(E218&lt;=$T136,E222*$V139/100,IF(E218&lt;=$U136,E222*$W139/100,E222*$X139/100)))))))))))))))))))))</f>
        <v>#DIV/0!</v>
      </c>
      <c r="F239" s="291" t="e">
        <f t="shared" ref="F239:AP239" ca="1" si="104">IF(F222="",NA(),IF(F218&lt;=$B136,F222*$D139/100,IF(F218&lt;=$C136,F222*$E139/100,IF(F218&lt;=$D136,F222*$F139/100,IF(F218&lt;=$E136,F222*$G139/100,IF(F218&lt;=$F136,F222*$H139/100,IF(F218&lt;=$G136,F222*$I139/100,IF(F218&lt;=$H136,F222*$J139/100,IF(F218&lt;=$I136,F222*$K139/100,IF(F218&lt;=$J136,F222*$L139/100,IF(F218&lt;=$K136,F222*$M139/100,IF(F218&lt;=$L136,F222*$N139/100,IF(F218&lt;=$M136,F222*$O139/100,IF(F218&lt;=$N136,F222*$P139/100,IF(F218&lt;=$O136,F222*$Q139/100,IF(F218&lt;=$P136,F222*$R139/100,IF(F218&lt;=$Q136,F222*$S139/100,IF(F218&lt;=$R136,F222*$T139/100,IF(F218&lt;=$S136,F222*$U139/100,IF(F218&lt;=$T136,F222*$V139/100,IF(F218&lt;=$U136,F222*$W139/100,F222*$X139/100)))))))))))))))))))))</f>
        <v>#DIV/0!</v>
      </c>
      <c r="G239" s="291" t="e">
        <f t="shared" ca="1" si="104"/>
        <v>#DIV/0!</v>
      </c>
      <c r="H239" s="291" t="e">
        <f t="shared" ca="1" si="104"/>
        <v>#DIV/0!</v>
      </c>
      <c r="I239" s="291" t="e">
        <f t="shared" ca="1" si="104"/>
        <v>#DIV/0!</v>
      </c>
      <c r="J239" s="291" t="e">
        <f t="shared" ca="1" si="104"/>
        <v>#DIV/0!</v>
      </c>
      <c r="K239" s="291" t="e">
        <f t="shared" ca="1" si="104"/>
        <v>#DIV/0!</v>
      </c>
      <c r="L239" s="291" t="e">
        <f t="shared" ca="1" si="104"/>
        <v>#DIV/0!</v>
      </c>
      <c r="M239" s="291" t="e">
        <f t="shared" ca="1" si="104"/>
        <v>#DIV/0!</v>
      </c>
      <c r="N239" s="291" t="e">
        <f t="shared" ca="1" si="104"/>
        <v>#DIV/0!</v>
      </c>
      <c r="O239" s="291" t="e">
        <f t="shared" ca="1" si="104"/>
        <v>#DIV/0!</v>
      </c>
      <c r="P239" s="291" t="e">
        <f t="shared" ca="1" si="104"/>
        <v>#DIV/0!</v>
      </c>
      <c r="Q239" s="291" t="e">
        <f t="shared" ca="1" si="104"/>
        <v>#DIV/0!</v>
      </c>
      <c r="R239" s="291" t="e">
        <f t="shared" ca="1" si="104"/>
        <v>#DIV/0!</v>
      </c>
      <c r="S239" s="291" t="e">
        <f t="shared" ca="1" si="104"/>
        <v>#DIV/0!</v>
      </c>
      <c r="T239" s="291" t="e">
        <f t="shared" ca="1" si="104"/>
        <v>#DIV/0!</v>
      </c>
      <c r="U239" s="291" t="e">
        <f t="shared" ca="1" si="104"/>
        <v>#DIV/0!</v>
      </c>
      <c r="V239" s="291" t="e">
        <f t="shared" ca="1" si="104"/>
        <v>#DIV/0!</v>
      </c>
      <c r="W239" s="291" t="e">
        <f t="shared" ca="1" si="104"/>
        <v>#DIV/0!</v>
      </c>
      <c r="X239" s="291" t="e">
        <f t="shared" ca="1" si="104"/>
        <v>#DIV/0!</v>
      </c>
      <c r="Y239" s="291" t="e">
        <f t="shared" ca="1" si="104"/>
        <v>#DIV/0!</v>
      </c>
      <c r="Z239" s="291" t="e">
        <f t="shared" ca="1" si="104"/>
        <v>#DIV/0!</v>
      </c>
      <c r="AA239" s="291" t="e">
        <f t="shared" ca="1" si="104"/>
        <v>#DIV/0!</v>
      </c>
      <c r="AB239" s="291" t="e">
        <f t="shared" ca="1" si="104"/>
        <v>#DIV/0!</v>
      </c>
      <c r="AC239" s="291" t="e">
        <f t="shared" ca="1" si="104"/>
        <v>#DIV/0!</v>
      </c>
      <c r="AD239" s="291" t="e">
        <f t="shared" ca="1" si="104"/>
        <v>#DIV/0!</v>
      </c>
      <c r="AE239" s="291" t="e">
        <f t="shared" ca="1" si="104"/>
        <v>#DIV/0!</v>
      </c>
      <c r="AF239" s="291" t="e">
        <f t="shared" ca="1" si="104"/>
        <v>#DIV/0!</v>
      </c>
      <c r="AG239" s="291" t="e">
        <f t="shared" ca="1" si="104"/>
        <v>#DIV/0!</v>
      </c>
      <c r="AH239" s="291" t="e">
        <f t="shared" ca="1" si="104"/>
        <v>#DIV/0!</v>
      </c>
      <c r="AI239" s="291" t="e">
        <f t="shared" ca="1" si="104"/>
        <v>#DIV/0!</v>
      </c>
      <c r="AJ239" s="291" t="e">
        <f t="shared" ca="1" si="104"/>
        <v>#DIV/0!</v>
      </c>
      <c r="AK239" s="291" t="e">
        <f t="shared" ca="1" si="104"/>
        <v>#DIV/0!</v>
      </c>
      <c r="AL239" s="291" t="e">
        <f t="shared" ca="1" si="104"/>
        <v>#DIV/0!</v>
      </c>
      <c r="AM239" s="291" t="e">
        <f t="shared" ca="1" si="104"/>
        <v>#DIV/0!</v>
      </c>
      <c r="AN239" s="291" t="e">
        <f t="shared" ca="1" si="104"/>
        <v>#DIV/0!</v>
      </c>
      <c r="AO239" s="291" t="e">
        <f t="shared" ca="1" si="104"/>
        <v>#DIV/0!</v>
      </c>
      <c r="AP239" s="291" t="e">
        <f t="shared" ca="1" si="104"/>
        <v>#DIV/0!</v>
      </c>
      <c r="AQ239" s="291" t="e">
        <f ca="1">IF(AQ222="",NA(),IF(AQ218&lt;=$B136,AQ222*$D139/100,IF(AQ218&lt;=$C136,AQ222*$E139/100,IF(AQ218&lt;=$D136,AQ222*$F139/100,IF(AQ218&lt;=$E136,AQ222*$G139/100,IF(AQ218&lt;=$F136,AQ222*$H139/100,IF(AQ218&lt;=$G136,AQ222*$I139/100,IF(AQ218&lt;=$H136,AQ222*$J139/100,IF(AQ218&lt;=$I136,AQ222*$K139/100,IF(AQ218&lt;=$J136,AQ222*$L139/100,IF(AQ218&lt;=$K136,AQ222*$M139/100,IF(AQ218&lt;=$L136,AQ222*$N139/100,IF(AQ218&lt;=$M136,AQ222*$O139/100,IF(AQ218&lt;=$N136,AQ222*$P139/100,IF(AQ218&lt;=$O136,AQ222*$Q139/100,IF(AQ218&lt;=$P136,AQ222*$R139/100,IF(AQ218&lt;=$Q136,AQ222*$S139/100,IF(AQ218&lt;=$R136,AQ222*$T139/100,IF(AQ218&lt;=$S136,AQ222*$U139/100,IF(AQ218&lt;=$T136,AQ222*$V139/100,IF(AQ218&lt;=$U136,AQ222*$W139/100,AQ222*$X139/100)))))))))))))))))))))</f>
        <v>#DIV/0!</v>
      </c>
    </row>
    <row r="240" spans="1:57" s="258" customFormat="1" ht="14.4" hidden="1">
      <c r="A240" s="302" t="s">
        <v>371</v>
      </c>
      <c r="B240" s="301"/>
      <c r="C240" s="303"/>
      <c r="E240" s="292" t="e">
        <f ca="1">IF(E239=0,NA(),ROUND(E239*1.5848,1))</f>
        <v>#DIV/0!</v>
      </c>
      <c r="F240" s="292" t="e">
        <f ca="1">IF(F239=0,NA(),ROUND(F239*1.5848,1))</f>
        <v>#DIV/0!</v>
      </c>
      <c r="G240" s="292" t="e">
        <f t="shared" ref="G240:AQ240" ca="1" si="105">IF(G239=0,NA(),ROUND(G239*1.5848,1))</f>
        <v>#DIV/0!</v>
      </c>
      <c r="H240" s="292" t="e">
        <f t="shared" ca="1" si="105"/>
        <v>#DIV/0!</v>
      </c>
      <c r="I240" s="292" t="e">
        <f t="shared" ca="1" si="105"/>
        <v>#DIV/0!</v>
      </c>
      <c r="J240" s="292" t="e">
        <f t="shared" ca="1" si="105"/>
        <v>#DIV/0!</v>
      </c>
      <c r="K240" s="292" t="e">
        <f t="shared" ca="1" si="105"/>
        <v>#DIV/0!</v>
      </c>
      <c r="L240" s="292" t="e">
        <f t="shared" ca="1" si="105"/>
        <v>#DIV/0!</v>
      </c>
      <c r="M240" s="292" t="e">
        <f t="shared" ca="1" si="105"/>
        <v>#DIV/0!</v>
      </c>
      <c r="N240" s="292" t="e">
        <f t="shared" ca="1" si="105"/>
        <v>#DIV/0!</v>
      </c>
      <c r="O240" s="292" t="e">
        <f t="shared" ca="1" si="105"/>
        <v>#DIV/0!</v>
      </c>
      <c r="P240" s="292" t="e">
        <f t="shared" ca="1" si="105"/>
        <v>#DIV/0!</v>
      </c>
      <c r="Q240" s="292" t="e">
        <f t="shared" ca="1" si="105"/>
        <v>#DIV/0!</v>
      </c>
      <c r="R240" s="292" t="e">
        <f t="shared" ca="1" si="105"/>
        <v>#DIV/0!</v>
      </c>
      <c r="S240" s="292" t="e">
        <f t="shared" ca="1" si="105"/>
        <v>#DIV/0!</v>
      </c>
      <c r="T240" s="292" t="e">
        <f t="shared" ca="1" si="105"/>
        <v>#DIV/0!</v>
      </c>
      <c r="U240" s="292" t="e">
        <f t="shared" ca="1" si="105"/>
        <v>#DIV/0!</v>
      </c>
      <c r="V240" s="292" t="e">
        <f t="shared" ca="1" si="105"/>
        <v>#DIV/0!</v>
      </c>
      <c r="W240" s="292" t="e">
        <f t="shared" ca="1" si="105"/>
        <v>#DIV/0!</v>
      </c>
      <c r="X240" s="292" t="e">
        <f t="shared" ca="1" si="105"/>
        <v>#DIV/0!</v>
      </c>
      <c r="Y240" s="292" t="e">
        <f t="shared" ca="1" si="105"/>
        <v>#DIV/0!</v>
      </c>
      <c r="Z240" s="292" t="e">
        <f t="shared" ca="1" si="105"/>
        <v>#DIV/0!</v>
      </c>
      <c r="AA240" s="292" t="e">
        <f t="shared" ca="1" si="105"/>
        <v>#DIV/0!</v>
      </c>
      <c r="AB240" s="292" t="e">
        <f t="shared" ca="1" si="105"/>
        <v>#DIV/0!</v>
      </c>
      <c r="AC240" s="292" t="e">
        <f t="shared" ca="1" si="105"/>
        <v>#DIV/0!</v>
      </c>
      <c r="AD240" s="292" t="e">
        <f t="shared" ca="1" si="105"/>
        <v>#DIV/0!</v>
      </c>
      <c r="AE240" s="292" t="e">
        <f t="shared" ca="1" si="105"/>
        <v>#DIV/0!</v>
      </c>
      <c r="AF240" s="292" t="e">
        <f t="shared" ca="1" si="105"/>
        <v>#DIV/0!</v>
      </c>
      <c r="AG240" s="292" t="e">
        <f t="shared" ca="1" si="105"/>
        <v>#DIV/0!</v>
      </c>
      <c r="AH240" s="292" t="e">
        <f t="shared" ca="1" si="105"/>
        <v>#DIV/0!</v>
      </c>
      <c r="AI240" s="292" t="e">
        <f t="shared" ca="1" si="105"/>
        <v>#DIV/0!</v>
      </c>
      <c r="AJ240" s="292" t="e">
        <f t="shared" ca="1" si="105"/>
        <v>#DIV/0!</v>
      </c>
      <c r="AK240" s="292" t="e">
        <f t="shared" ca="1" si="105"/>
        <v>#DIV/0!</v>
      </c>
      <c r="AL240" s="292" t="e">
        <f t="shared" ca="1" si="105"/>
        <v>#DIV/0!</v>
      </c>
      <c r="AM240" s="292" t="e">
        <f t="shared" ca="1" si="105"/>
        <v>#DIV/0!</v>
      </c>
      <c r="AN240" s="292" t="e">
        <f t="shared" ca="1" si="105"/>
        <v>#DIV/0!</v>
      </c>
      <c r="AO240" s="292" t="e">
        <f t="shared" ca="1" si="105"/>
        <v>#DIV/0!</v>
      </c>
      <c r="AP240" s="292" t="e">
        <f t="shared" ca="1" si="105"/>
        <v>#DIV/0!</v>
      </c>
      <c r="AQ240" s="292" t="e">
        <f t="shared" ca="1" si="105"/>
        <v>#DIV/0!</v>
      </c>
    </row>
    <row r="241" spans="1:60" s="258" customFormat="1" ht="14.4" hidden="1">
      <c r="A241" s="302" t="s">
        <v>363</v>
      </c>
      <c r="B241" s="301"/>
      <c r="C241" s="303"/>
      <c r="E241" s="292" t="e">
        <f>IF(E242="",NA(),ROUND(E242-E240,1))</f>
        <v>#N/A</v>
      </c>
      <c r="F241" s="292" t="e">
        <f>IF(F242="",NA(),ROUND(F242-F240,1))</f>
        <v>#N/A</v>
      </c>
      <c r="G241" s="292" t="e">
        <f t="shared" ref="G241:AQ241" si="106">IF(G242="",NA(),ROUND(G242-G240,1))</f>
        <v>#N/A</v>
      </c>
      <c r="H241" s="292" t="e">
        <f t="shared" si="106"/>
        <v>#N/A</v>
      </c>
      <c r="I241" s="292" t="e">
        <f t="shared" si="106"/>
        <v>#N/A</v>
      </c>
      <c r="J241" s="292" t="e">
        <f t="shared" si="106"/>
        <v>#N/A</v>
      </c>
      <c r="K241" s="292" t="e">
        <f t="shared" si="106"/>
        <v>#N/A</v>
      </c>
      <c r="L241" s="292" t="e">
        <f t="shared" si="106"/>
        <v>#N/A</v>
      </c>
      <c r="M241" s="292" t="e">
        <f t="shared" si="106"/>
        <v>#N/A</v>
      </c>
      <c r="N241" s="292" t="e">
        <f t="shared" si="106"/>
        <v>#N/A</v>
      </c>
      <c r="O241" s="292" t="e">
        <f t="shared" si="106"/>
        <v>#N/A</v>
      </c>
      <c r="P241" s="292" t="e">
        <f t="shared" si="106"/>
        <v>#N/A</v>
      </c>
      <c r="Q241" s="292" t="e">
        <f t="shared" si="106"/>
        <v>#N/A</v>
      </c>
      <c r="R241" s="292" t="e">
        <f t="shared" si="106"/>
        <v>#N/A</v>
      </c>
      <c r="S241" s="292" t="e">
        <f t="shared" si="106"/>
        <v>#N/A</v>
      </c>
      <c r="T241" s="292" t="e">
        <f t="shared" si="106"/>
        <v>#N/A</v>
      </c>
      <c r="U241" s="292" t="e">
        <f t="shared" si="106"/>
        <v>#N/A</v>
      </c>
      <c r="V241" s="292" t="e">
        <f t="shared" si="106"/>
        <v>#N/A</v>
      </c>
      <c r="W241" s="292" t="e">
        <f t="shared" si="106"/>
        <v>#N/A</v>
      </c>
      <c r="X241" s="292" t="e">
        <f t="shared" si="106"/>
        <v>#N/A</v>
      </c>
      <c r="Y241" s="292" t="e">
        <f t="shared" si="106"/>
        <v>#N/A</v>
      </c>
      <c r="Z241" s="292" t="e">
        <f t="shared" si="106"/>
        <v>#N/A</v>
      </c>
      <c r="AA241" s="292" t="e">
        <f t="shared" si="106"/>
        <v>#N/A</v>
      </c>
      <c r="AB241" s="292" t="e">
        <f t="shared" si="106"/>
        <v>#N/A</v>
      </c>
      <c r="AC241" s="292" t="e">
        <f t="shared" si="106"/>
        <v>#N/A</v>
      </c>
      <c r="AD241" s="292" t="e">
        <f t="shared" si="106"/>
        <v>#N/A</v>
      </c>
      <c r="AE241" s="292" t="e">
        <f t="shared" si="106"/>
        <v>#N/A</v>
      </c>
      <c r="AF241" s="292" t="e">
        <f t="shared" si="106"/>
        <v>#N/A</v>
      </c>
      <c r="AG241" s="292" t="e">
        <f t="shared" si="106"/>
        <v>#N/A</v>
      </c>
      <c r="AH241" s="292" t="e">
        <f t="shared" si="106"/>
        <v>#N/A</v>
      </c>
      <c r="AI241" s="292" t="e">
        <f t="shared" si="106"/>
        <v>#N/A</v>
      </c>
      <c r="AJ241" s="292" t="e">
        <f t="shared" si="106"/>
        <v>#N/A</v>
      </c>
      <c r="AK241" s="292" t="e">
        <f t="shared" si="106"/>
        <v>#N/A</v>
      </c>
      <c r="AL241" s="292" t="e">
        <f t="shared" si="106"/>
        <v>#N/A</v>
      </c>
      <c r="AM241" s="292" t="e">
        <f t="shared" si="106"/>
        <v>#N/A</v>
      </c>
      <c r="AN241" s="292" t="e">
        <f t="shared" si="106"/>
        <v>#N/A</v>
      </c>
      <c r="AO241" s="292" t="e">
        <f t="shared" si="106"/>
        <v>#N/A</v>
      </c>
      <c r="AP241" s="292" t="e">
        <f t="shared" si="106"/>
        <v>#N/A</v>
      </c>
      <c r="AQ241" s="292" t="e">
        <f t="shared" si="106"/>
        <v>#N/A</v>
      </c>
    </row>
    <row r="242" spans="1:60" s="258" customFormat="1" ht="14.4" hidden="1">
      <c r="A242" s="302" t="s">
        <v>372</v>
      </c>
      <c r="B242" s="301"/>
      <c r="C242" s="303"/>
      <c r="E242" s="291" t="e">
        <f t="shared" ref="E242:AQ242" si="107">IF(E238="",NA(),IF(E218&lt;=$B136,E238*$D139/100,IF(E218&lt;=$C136,E238*$E139/100,IF(E218&lt;=$D136,E238*$F139/100,IF(E218&lt;=$E136,E238*$G139/100,IF(E218&lt;=$F136,E238*$H139/100,IF(E218&lt;=$G136,E238*$I139/100,IF(E218&lt;=$H136,E238*$J139/100,IF(E218&lt;=$I136,E238*$K139/100,IF(E218&lt;=$J136,E238*$L139/100,IF(E218&lt;=$K136,E238*$M139/100,IF(E218&lt;=$L136,E238*$N139/100,IF(E218&lt;=$M136,E238*$O139/100,IF(E218&lt;=$N136,E238*$P139/100,IF(E218&lt;=$O136,E238*$Q139/100,IF(E218&lt;=$P136,E238*$R139/100,IF(E218&lt;=$Q136,E238*$S139/100,IF(E218&lt;=$R136,E238*$T139/100,IF(E218&lt;=$S136,E238*$U139/100,IF(E218&lt;=$T136,E238*$V139/100,IF(E218&lt;=$U136,E238*$W139/100,E238*$X139/100)))))))))))))))))))))</f>
        <v>#N/A</v>
      </c>
      <c r="F242" s="291" t="e">
        <f t="shared" si="107"/>
        <v>#N/A</v>
      </c>
      <c r="G242" s="291" t="e">
        <f t="shared" si="107"/>
        <v>#N/A</v>
      </c>
      <c r="H242" s="291" t="e">
        <f t="shared" si="107"/>
        <v>#N/A</v>
      </c>
      <c r="I242" s="291" t="e">
        <f t="shared" si="107"/>
        <v>#N/A</v>
      </c>
      <c r="J242" s="291" t="e">
        <f t="shared" si="107"/>
        <v>#N/A</v>
      </c>
      <c r="K242" s="291" t="e">
        <f t="shared" si="107"/>
        <v>#N/A</v>
      </c>
      <c r="L242" s="291" t="e">
        <f t="shared" si="107"/>
        <v>#N/A</v>
      </c>
      <c r="M242" s="291" t="e">
        <f t="shared" si="107"/>
        <v>#N/A</v>
      </c>
      <c r="N242" s="291" t="e">
        <f t="shared" si="107"/>
        <v>#N/A</v>
      </c>
      <c r="O242" s="291" t="e">
        <f t="shared" si="107"/>
        <v>#N/A</v>
      </c>
      <c r="P242" s="291" t="e">
        <f t="shared" si="107"/>
        <v>#N/A</v>
      </c>
      <c r="Q242" s="291" t="e">
        <f t="shared" si="107"/>
        <v>#N/A</v>
      </c>
      <c r="R242" s="291" t="e">
        <f t="shared" si="107"/>
        <v>#N/A</v>
      </c>
      <c r="S242" s="291" t="e">
        <f t="shared" si="107"/>
        <v>#N/A</v>
      </c>
      <c r="T242" s="291" t="e">
        <f t="shared" si="107"/>
        <v>#N/A</v>
      </c>
      <c r="U242" s="291" t="e">
        <f t="shared" si="107"/>
        <v>#N/A</v>
      </c>
      <c r="V242" s="291" t="e">
        <f t="shared" si="107"/>
        <v>#N/A</v>
      </c>
      <c r="W242" s="291" t="e">
        <f t="shared" si="107"/>
        <v>#N/A</v>
      </c>
      <c r="X242" s="291" t="e">
        <f t="shared" si="107"/>
        <v>#N/A</v>
      </c>
      <c r="Y242" s="291" t="e">
        <f t="shared" si="107"/>
        <v>#N/A</v>
      </c>
      <c r="Z242" s="291" t="e">
        <f t="shared" si="107"/>
        <v>#N/A</v>
      </c>
      <c r="AA242" s="291" t="e">
        <f t="shared" si="107"/>
        <v>#N/A</v>
      </c>
      <c r="AB242" s="291" t="e">
        <f t="shared" si="107"/>
        <v>#N/A</v>
      </c>
      <c r="AC242" s="291" t="e">
        <f t="shared" si="107"/>
        <v>#N/A</v>
      </c>
      <c r="AD242" s="291" t="e">
        <f t="shared" si="107"/>
        <v>#N/A</v>
      </c>
      <c r="AE242" s="291" t="e">
        <f t="shared" si="107"/>
        <v>#N/A</v>
      </c>
      <c r="AF242" s="291" t="e">
        <f t="shared" si="107"/>
        <v>#N/A</v>
      </c>
      <c r="AG242" s="291" t="e">
        <f t="shared" si="107"/>
        <v>#N/A</v>
      </c>
      <c r="AH242" s="291" t="e">
        <f t="shared" si="107"/>
        <v>#N/A</v>
      </c>
      <c r="AI242" s="291" t="e">
        <f t="shared" si="107"/>
        <v>#N/A</v>
      </c>
      <c r="AJ242" s="291" t="e">
        <f t="shared" si="107"/>
        <v>#N/A</v>
      </c>
      <c r="AK242" s="291" t="e">
        <f t="shared" si="107"/>
        <v>#N/A</v>
      </c>
      <c r="AL242" s="291" t="e">
        <f t="shared" si="107"/>
        <v>#N/A</v>
      </c>
      <c r="AM242" s="291" t="e">
        <f t="shared" si="107"/>
        <v>#N/A</v>
      </c>
      <c r="AN242" s="291" t="e">
        <f t="shared" si="107"/>
        <v>#N/A</v>
      </c>
      <c r="AO242" s="291" t="e">
        <f t="shared" si="107"/>
        <v>#N/A</v>
      </c>
      <c r="AP242" s="291" t="e">
        <f t="shared" si="107"/>
        <v>#N/A</v>
      </c>
      <c r="AQ242" s="291" t="e">
        <f t="shared" si="107"/>
        <v>#N/A</v>
      </c>
    </row>
    <row r="243" spans="1:60" s="258" customFormat="1" ht="15" hidden="1" thickBot="1">
      <c r="A243" s="304" t="s">
        <v>370</v>
      </c>
      <c r="B243" s="305"/>
      <c r="C243" s="305"/>
      <c r="E243" s="293" t="e">
        <f>IF(E242="",NA(),ROUND(E240/E242*100,1))</f>
        <v>#N/A</v>
      </c>
      <c r="F243" s="293" t="e">
        <f>IF(F242="",NA(),ROUND(F240/F242*100,1))</f>
        <v>#N/A</v>
      </c>
      <c r="G243" s="293" t="e">
        <f t="shared" ref="G243:AQ243" si="108">IF(G242="",NA(),ROUND(G240/G242*100,1))</f>
        <v>#N/A</v>
      </c>
      <c r="H243" s="293" t="e">
        <f t="shared" si="108"/>
        <v>#N/A</v>
      </c>
      <c r="I243" s="293" t="e">
        <f t="shared" si="108"/>
        <v>#N/A</v>
      </c>
      <c r="J243" s="293" t="e">
        <f t="shared" si="108"/>
        <v>#N/A</v>
      </c>
      <c r="K243" s="293" t="e">
        <f t="shared" si="108"/>
        <v>#N/A</v>
      </c>
      <c r="L243" s="293" t="e">
        <f t="shared" si="108"/>
        <v>#N/A</v>
      </c>
      <c r="M243" s="293" t="e">
        <f t="shared" si="108"/>
        <v>#N/A</v>
      </c>
      <c r="N243" s="293" t="e">
        <f t="shared" si="108"/>
        <v>#N/A</v>
      </c>
      <c r="O243" s="293" t="e">
        <f t="shared" si="108"/>
        <v>#N/A</v>
      </c>
      <c r="P243" s="293" t="e">
        <f t="shared" si="108"/>
        <v>#N/A</v>
      </c>
      <c r="Q243" s="293" t="e">
        <f t="shared" si="108"/>
        <v>#N/A</v>
      </c>
      <c r="R243" s="293" t="e">
        <f t="shared" si="108"/>
        <v>#N/A</v>
      </c>
      <c r="S243" s="293" t="e">
        <f t="shared" si="108"/>
        <v>#N/A</v>
      </c>
      <c r="T243" s="293" t="e">
        <f t="shared" si="108"/>
        <v>#N/A</v>
      </c>
      <c r="U243" s="293" t="e">
        <f t="shared" si="108"/>
        <v>#N/A</v>
      </c>
      <c r="V243" s="293" t="e">
        <f t="shared" si="108"/>
        <v>#N/A</v>
      </c>
      <c r="W243" s="293" t="e">
        <f t="shared" si="108"/>
        <v>#N/A</v>
      </c>
      <c r="X243" s="293" t="e">
        <f t="shared" si="108"/>
        <v>#N/A</v>
      </c>
      <c r="Y243" s="293" t="e">
        <f t="shared" si="108"/>
        <v>#N/A</v>
      </c>
      <c r="Z243" s="293" t="e">
        <f t="shared" si="108"/>
        <v>#N/A</v>
      </c>
      <c r="AA243" s="293" t="e">
        <f t="shared" si="108"/>
        <v>#N/A</v>
      </c>
      <c r="AB243" s="293" t="e">
        <f t="shared" si="108"/>
        <v>#N/A</v>
      </c>
      <c r="AC243" s="293" t="e">
        <f t="shared" si="108"/>
        <v>#N/A</v>
      </c>
      <c r="AD243" s="293" t="e">
        <f t="shared" si="108"/>
        <v>#N/A</v>
      </c>
      <c r="AE243" s="293" t="e">
        <f t="shared" si="108"/>
        <v>#N/A</v>
      </c>
      <c r="AF243" s="293" t="e">
        <f t="shared" si="108"/>
        <v>#N/A</v>
      </c>
      <c r="AG243" s="293" t="e">
        <f t="shared" si="108"/>
        <v>#N/A</v>
      </c>
      <c r="AH243" s="293" t="e">
        <f t="shared" si="108"/>
        <v>#N/A</v>
      </c>
      <c r="AI243" s="293" t="e">
        <f t="shared" si="108"/>
        <v>#N/A</v>
      </c>
      <c r="AJ243" s="293" t="e">
        <f t="shared" si="108"/>
        <v>#N/A</v>
      </c>
      <c r="AK243" s="293" t="e">
        <f t="shared" si="108"/>
        <v>#N/A</v>
      </c>
      <c r="AL243" s="293" t="e">
        <f t="shared" si="108"/>
        <v>#N/A</v>
      </c>
      <c r="AM243" s="293" t="e">
        <f t="shared" si="108"/>
        <v>#N/A</v>
      </c>
      <c r="AN243" s="293" t="e">
        <f t="shared" si="108"/>
        <v>#N/A</v>
      </c>
      <c r="AO243" s="293" t="e">
        <f t="shared" si="108"/>
        <v>#N/A</v>
      </c>
      <c r="AP243" s="293" t="e">
        <f t="shared" si="108"/>
        <v>#N/A</v>
      </c>
      <c r="AQ243" s="293" t="e">
        <f t="shared" si="108"/>
        <v>#N/A</v>
      </c>
      <c r="AR243" s="293"/>
    </row>
    <row r="244" spans="1:60" hidden="1"/>
    <row r="245" spans="1:60" hidden="1"/>
    <row r="248" spans="1:60" ht="22.35" customHeight="1" thickBot="1">
      <c r="C248" s="244" t="s">
        <v>374</v>
      </c>
    </row>
    <row r="249" spans="1:60" ht="18" customHeight="1">
      <c r="B249" s="557" t="s">
        <v>90</v>
      </c>
      <c r="C249" s="547" t="s">
        <v>70</v>
      </c>
      <c r="D249" s="547"/>
      <c r="E249" s="548" t="s">
        <v>253</v>
      </c>
      <c r="F249" s="549"/>
      <c r="G249" s="548" t="s">
        <v>92</v>
      </c>
      <c r="H249" s="547"/>
      <c r="I249" s="547" t="s">
        <v>74</v>
      </c>
      <c r="J249" s="547"/>
      <c r="K249" s="547"/>
      <c r="L249" s="547"/>
      <c r="M249" s="547" t="s">
        <v>75</v>
      </c>
      <c r="N249" s="547"/>
      <c r="O249" s="547"/>
      <c r="P249" s="547"/>
      <c r="Q249" s="547"/>
      <c r="R249" s="547"/>
      <c r="S249" s="547"/>
      <c r="T249" s="547"/>
      <c r="U249" s="547"/>
      <c r="V249" s="547"/>
      <c r="W249" s="547"/>
      <c r="X249" s="405" t="s">
        <v>76</v>
      </c>
      <c r="Y249" s="407"/>
      <c r="Z249" s="407"/>
      <c r="AA249" s="407"/>
      <c r="AB249" s="407"/>
      <c r="AC249" s="407"/>
      <c r="AD249" s="407"/>
      <c r="AE249" s="407"/>
      <c r="AF249" s="407"/>
      <c r="AG249" s="407"/>
      <c r="AH249" s="407"/>
      <c r="AI249" s="407"/>
      <c r="AJ249" s="407"/>
      <c r="AK249" s="407"/>
      <c r="AL249" s="407"/>
      <c r="AM249" s="407"/>
      <c r="AN249" s="407"/>
      <c r="AO249" s="407"/>
      <c r="AP249" s="407"/>
      <c r="AQ249" s="407"/>
      <c r="AR249" s="407"/>
      <c r="AS249" s="407"/>
      <c r="AT249" s="389"/>
    </row>
    <row r="250" spans="1:60" ht="18" customHeight="1">
      <c r="B250" s="558"/>
      <c r="C250" s="403"/>
      <c r="D250" s="403"/>
      <c r="E250" s="479"/>
      <c r="F250" s="479"/>
      <c r="G250" s="403"/>
      <c r="H250" s="403"/>
      <c r="I250" s="403" t="s">
        <v>248</v>
      </c>
      <c r="J250" s="403"/>
      <c r="K250" s="403" t="s">
        <v>77</v>
      </c>
      <c r="L250" s="403"/>
      <c r="M250" s="403" t="s">
        <v>77</v>
      </c>
      <c r="N250" s="403"/>
      <c r="O250" s="541" t="s">
        <v>252</v>
      </c>
      <c r="P250" s="479"/>
      <c r="Q250" s="479"/>
      <c r="R250" s="478" t="s">
        <v>244</v>
      </c>
      <c r="S250" s="478"/>
      <c r="T250" s="478"/>
      <c r="U250" s="478" t="s">
        <v>249</v>
      </c>
      <c r="V250" s="478"/>
      <c r="W250" s="478"/>
      <c r="X250" s="403" t="s">
        <v>77</v>
      </c>
      <c r="Y250" s="403"/>
      <c r="Z250" s="541" t="s">
        <v>89</v>
      </c>
      <c r="AA250" s="479"/>
      <c r="AB250" s="479"/>
      <c r="AC250" s="478" t="s">
        <v>153</v>
      </c>
      <c r="AD250" s="478"/>
      <c r="AE250" s="478"/>
      <c r="AF250" s="478" t="s">
        <v>250</v>
      </c>
      <c r="AG250" s="478"/>
      <c r="AH250" s="478"/>
      <c r="AI250" s="807" t="s">
        <v>70</v>
      </c>
      <c r="AJ250" s="808"/>
      <c r="AK250" s="809"/>
      <c r="AL250" s="541" t="s">
        <v>93</v>
      </c>
      <c r="AM250" s="479"/>
      <c r="AN250" s="479"/>
      <c r="AO250" s="478" t="s">
        <v>154</v>
      </c>
      <c r="AP250" s="478"/>
      <c r="AQ250" s="478"/>
      <c r="AR250" s="478" t="s">
        <v>251</v>
      </c>
      <c r="AS250" s="478"/>
      <c r="AT250" s="544"/>
    </row>
    <row r="251" spans="1:60" ht="18" customHeight="1">
      <c r="B251" s="558"/>
      <c r="C251" s="403"/>
      <c r="D251" s="403"/>
      <c r="E251" s="479"/>
      <c r="F251" s="479"/>
      <c r="G251" s="403"/>
      <c r="H251" s="403"/>
      <c r="I251" s="403"/>
      <c r="J251" s="403"/>
      <c r="K251" s="403"/>
      <c r="L251" s="403"/>
      <c r="M251" s="403"/>
      <c r="N251" s="403"/>
      <c r="O251" s="479"/>
      <c r="P251" s="479"/>
      <c r="Q251" s="479"/>
      <c r="R251" s="478"/>
      <c r="S251" s="478"/>
      <c r="T251" s="478"/>
      <c r="U251" s="478"/>
      <c r="V251" s="478"/>
      <c r="W251" s="478"/>
      <c r="X251" s="403"/>
      <c r="Y251" s="403"/>
      <c r="Z251" s="479"/>
      <c r="AA251" s="479"/>
      <c r="AB251" s="479"/>
      <c r="AC251" s="478"/>
      <c r="AD251" s="478"/>
      <c r="AE251" s="478"/>
      <c r="AF251" s="478"/>
      <c r="AG251" s="478"/>
      <c r="AH251" s="478"/>
      <c r="AI251" s="810"/>
      <c r="AJ251" s="811"/>
      <c r="AK251" s="812"/>
      <c r="AL251" s="479"/>
      <c r="AM251" s="479"/>
      <c r="AN251" s="479"/>
      <c r="AO251" s="478"/>
      <c r="AP251" s="478"/>
      <c r="AQ251" s="478"/>
      <c r="AR251" s="478"/>
      <c r="AS251" s="478"/>
      <c r="AT251" s="544"/>
    </row>
    <row r="252" spans="1:60" ht="18" customHeight="1">
      <c r="B252" s="558"/>
      <c r="C252" s="420"/>
      <c r="D252" s="420"/>
      <c r="E252" s="402"/>
      <c r="F252" s="402"/>
      <c r="G252" s="813"/>
      <c r="H252" s="813"/>
      <c r="I252" s="402"/>
      <c r="J252" s="402"/>
      <c r="K252" s="402"/>
      <c r="L252" s="402"/>
      <c r="M252" s="402"/>
      <c r="N252" s="402"/>
      <c r="O252" s="402"/>
      <c r="P252" s="402"/>
      <c r="Q252" s="402"/>
      <c r="R252" s="420" t="str">
        <f>IF($E252="","",IF($O252="","",ROUND(($O252-$E252)/$E252*100,1)))</f>
        <v/>
      </c>
      <c r="S252" s="420"/>
      <c r="T252" s="420"/>
      <c r="U252" s="814" t="str">
        <f>IF(G252="","",IF(R252="","",ROUND(100*(R252+G252)/(100+R252),1)))</f>
        <v/>
      </c>
      <c r="V252" s="357"/>
      <c r="W252" s="782"/>
      <c r="X252" s="402"/>
      <c r="Y252" s="402"/>
      <c r="Z252" s="402"/>
      <c r="AA252" s="402"/>
      <c r="AB252" s="402"/>
      <c r="AC252" s="420" t="str">
        <f>IF($E252="","",IF($Z252="","",ROUND(($Z252-$E252)/$E252*100,1)))</f>
        <v/>
      </c>
      <c r="AD252" s="420"/>
      <c r="AE252" s="420"/>
      <c r="AF252" s="420" t="str">
        <f>IF(G252="","",IF(AC252="","",ROUND(100*(AC252+G252)/(100+AC252),1)))</f>
        <v/>
      </c>
      <c r="AG252" s="420"/>
      <c r="AH252" s="420"/>
      <c r="AI252" s="763" t="s">
        <v>317</v>
      </c>
      <c r="AJ252" s="815"/>
      <c r="AK252" s="816"/>
      <c r="AL252" s="402"/>
      <c r="AM252" s="402"/>
      <c r="AN252" s="402"/>
      <c r="AO252" s="420" t="str">
        <f>IF($BH252=0,"",IF($AL252="","",ROUND(($AL252-$BH252)/$BH252*100,1)))</f>
        <v/>
      </c>
      <c r="AP252" s="420"/>
      <c r="AQ252" s="420"/>
      <c r="AR252" s="814" t="str">
        <f>IF(G252="","",IF(AO252="","",ROUND(100*(AO252+VLOOKUP(AI252,C$271:H$370,5,FALSE))/(100+AO252),1)))</f>
        <v/>
      </c>
      <c r="AS252" s="357"/>
      <c r="AT252" s="358"/>
      <c r="BG252" s="138" t="s">
        <v>317</v>
      </c>
      <c r="BH252" s="2">
        <f>SUMIF(C$250:D$349,AI252,E$250:F$349)</f>
        <v>0</v>
      </c>
    </row>
    <row r="253" spans="1:60" ht="18" customHeight="1">
      <c r="B253" s="558"/>
      <c r="C253" s="420"/>
      <c r="D253" s="420"/>
      <c r="E253" s="560"/>
      <c r="F253" s="562"/>
      <c r="G253" s="817"/>
      <c r="H253" s="818"/>
      <c r="I253" s="560"/>
      <c r="J253" s="562"/>
      <c r="K253" s="560"/>
      <c r="L253" s="562"/>
      <c r="M253" s="560"/>
      <c r="N253" s="562"/>
      <c r="O253" s="560"/>
      <c r="P253" s="561"/>
      <c r="Q253" s="562"/>
      <c r="R253" s="420" t="str">
        <f t="shared" ref="R253:R316" si="109">IF($E253="","",IF($O253="","",ROUND(($O253-$E253)/$E253*100,1)))</f>
        <v/>
      </c>
      <c r="S253" s="420"/>
      <c r="T253" s="420"/>
      <c r="U253" s="814" t="str">
        <f t="shared" ref="U253:U316" si="110">IF(G253="","",IF(R253="","",ROUND(100*(R253+G253)/(100+R253),1)))</f>
        <v/>
      </c>
      <c r="V253" s="357"/>
      <c r="W253" s="782"/>
      <c r="X253" s="402"/>
      <c r="Y253" s="402"/>
      <c r="Z253" s="560"/>
      <c r="AA253" s="561"/>
      <c r="AB253" s="562"/>
      <c r="AC253" s="420" t="str">
        <f t="shared" ref="AC253:AC316" si="111">IF($E253="","",IF($Z253="","",ROUND(($Z253-$E253)/$E253*100,1)))</f>
        <v/>
      </c>
      <c r="AD253" s="420"/>
      <c r="AE253" s="420"/>
      <c r="AF253" s="420" t="str">
        <f t="shared" ref="AF253:AF359" si="112">IF(G253="","",IF(AC253="","",ROUND(100*(AC253+G253)/(100+AC253),1)))</f>
        <v/>
      </c>
      <c r="AG253" s="420"/>
      <c r="AH253" s="420"/>
      <c r="AI253" s="763" t="s">
        <v>243</v>
      </c>
      <c r="AJ253" s="815"/>
      <c r="AK253" s="816"/>
      <c r="AL253" s="560"/>
      <c r="AM253" s="561"/>
      <c r="AN253" s="562"/>
      <c r="AO253" s="420" t="str">
        <f t="shared" ref="AO253:AO259" si="113">IF($BH253=0,"",IF($AL253="","",ROUND(($AL253-$BH253)/$BH253*100,1)))</f>
        <v/>
      </c>
      <c r="AP253" s="420"/>
      <c r="AQ253" s="420"/>
      <c r="AR253" s="814" t="str">
        <f t="shared" ref="AR253:AR259" si="114">IF(G253="","",IF(AO253="","",ROUND(100*(AO253+VLOOKUP(AI253,C$271:H$370,5,FALSE))/(100+AO253),1)))</f>
        <v/>
      </c>
      <c r="AS253" s="357"/>
      <c r="AT253" s="358"/>
      <c r="BG253" s="138" t="s">
        <v>243</v>
      </c>
      <c r="BH253" s="2">
        <f t="shared" ref="BH253:BH259" si="115">SUMIF(C$250:D$349,AI253,E$250:F$349)</f>
        <v>0</v>
      </c>
    </row>
    <row r="254" spans="1:60" ht="18" customHeight="1">
      <c r="B254" s="558"/>
      <c r="C254" s="420"/>
      <c r="D254" s="420"/>
      <c r="E254" s="560"/>
      <c r="F254" s="562"/>
      <c r="G254" s="817"/>
      <c r="H254" s="818"/>
      <c r="I254" s="560"/>
      <c r="J254" s="562"/>
      <c r="K254" s="560"/>
      <c r="L254" s="562"/>
      <c r="M254" s="560"/>
      <c r="N254" s="562"/>
      <c r="O254" s="560"/>
      <c r="P254" s="561"/>
      <c r="Q254" s="562"/>
      <c r="R254" s="420" t="str">
        <f t="shared" si="109"/>
        <v/>
      </c>
      <c r="S254" s="420"/>
      <c r="T254" s="420"/>
      <c r="U254" s="814" t="str">
        <f t="shared" si="110"/>
        <v/>
      </c>
      <c r="V254" s="357"/>
      <c r="W254" s="782"/>
      <c r="X254" s="402"/>
      <c r="Y254" s="402"/>
      <c r="Z254" s="560"/>
      <c r="AA254" s="561"/>
      <c r="AB254" s="562"/>
      <c r="AC254" s="420" t="str">
        <f t="shared" si="111"/>
        <v/>
      </c>
      <c r="AD254" s="420"/>
      <c r="AE254" s="420"/>
      <c r="AF254" s="420" t="str">
        <f t="shared" si="112"/>
        <v/>
      </c>
      <c r="AG254" s="420"/>
      <c r="AH254" s="420"/>
      <c r="AI254" s="763" t="s">
        <v>321</v>
      </c>
      <c r="AJ254" s="815"/>
      <c r="AK254" s="816"/>
      <c r="AL254" s="560"/>
      <c r="AM254" s="561"/>
      <c r="AN254" s="562"/>
      <c r="AO254" s="420" t="str">
        <f t="shared" si="113"/>
        <v/>
      </c>
      <c r="AP254" s="420"/>
      <c r="AQ254" s="420"/>
      <c r="AR254" s="814" t="str">
        <f t="shared" si="114"/>
        <v/>
      </c>
      <c r="AS254" s="357"/>
      <c r="AT254" s="358"/>
      <c r="BG254" s="138" t="s">
        <v>321</v>
      </c>
      <c r="BH254" s="2">
        <f>SUMIF(C$250:D$349,AI254,E$250:F$349)</f>
        <v>0</v>
      </c>
    </row>
    <row r="255" spans="1:60" ht="18" customHeight="1">
      <c r="B255" s="558"/>
      <c r="C255" s="420"/>
      <c r="D255" s="420"/>
      <c r="E255" s="560"/>
      <c r="F255" s="562"/>
      <c r="G255" s="817"/>
      <c r="H255" s="818"/>
      <c r="I255" s="560"/>
      <c r="J255" s="562"/>
      <c r="K255" s="560"/>
      <c r="L255" s="562"/>
      <c r="M255" s="560"/>
      <c r="N255" s="562"/>
      <c r="O255" s="560"/>
      <c r="P255" s="561"/>
      <c r="Q255" s="562"/>
      <c r="R255" s="420" t="str">
        <f t="shared" si="109"/>
        <v/>
      </c>
      <c r="S255" s="420"/>
      <c r="T255" s="420"/>
      <c r="U255" s="814" t="str">
        <f t="shared" si="110"/>
        <v/>
      </c>
      <c r="V255" s="357"/>
      <c r="W255" s="782"/>
      <c r="X255" s="402"/>
      <c r="Y255" s="402"/>
      <c r="Z255" s="560"/>
      <c r="AA255" s="561"/>
      <c r="AB255" s="562"/>
      <c r="AC255" s="420" t="str">
        <f t="shared" si="111"/>
        <v/>
      </c>
      <c r="AD255" s="420"/>
      <c r="AE255" s="420"/>
      <c r="AF255" s="420" t="str">
        <f t="shared" si="112"/>
        <v/>
      </c>
      <c r="AG255" s="420"/>
      <c r="AH255" s="420"/>
      <c r="AI255" s="763" t="s">
        <v>322</v>
      </c>
      <c r="AJ255" s="815"/>
      <c r="AK255" s="816"/>
      <c r="AL255" s="560"/>
      <c r="AM255" s="561"/>
      <c r="AN255" s="562"/>
      <c r="AO255" s="420" t="str">
        <f t="shared" si="113"/>
        <v/>
      </c>
      <c r="AP255" s="420"/>
      <c r="AQ255" s="420"/>
      <c r="AR255" s="814" t="str">
        <f t="shared" si="114"/>
        <v/>
      </c>
      <c r="AS255" s="357"/>
      <c r="AT255" s="358"/>
      <c r="BG255" s="138" t="s">
        <v>322</v>
      </c>
      <c r="BH255" s="2">
        <f t="shared" si="115"/>
        <v>0</v>
      </c>
    </row>
    <row r="256" spans="1:60" ht="18" customHeight="1">
      <c r="B256" s="558"/>
      <c r="C256" s="420"/>
      <c r="D256" s="420"/>
      <c r="E256" s="560"/>
      <c r="F256" s="562"/>
      <c r="G256" s="817"/>
      <c r="H256" s="818"/>
      <c r="I256" s="560"/>
      <c r="J256" s="562"/>
      <c r="K256" s="560"/>
      <c r="L256" s="562"/>
      <c r="M256" s="560"/>
      <c r="N256" s="562"/>
      <c r="O256" s="560"/>
      <c r="P256" s="561"/>
      <c r="Q256" s="562"/>
      <c r="R256" s="420" t="str">
        <f t="shared" si="109"/>
        <v/>
      </c>
      <c r="S256" s="420"/>
      <c r="T256" s="420"/>
      <c r="U256" s="814" t="str">
        <f t="shared" si="110"/>
        <v/>
      </c>
      <c r="V256" s="357"/>
      <c r="W256" s="782"/>
      <c r="X256" s="402"/>
      <c r="Y256" s="402"/>
      <c r="Z256" s="560"/>
      <c r="AA256" s="561"/>
      <c r="AB256" s="562"/>
      <c r="AC256" s="420" t="str">
        <f t="shared" si="111"/>
        <v/>
      </c>
      <c r="AD256" s="420"/>
      <c r="AE256" s="420"/>
      <c r="AF256" s="420" t="str">
        <f t="shared" si="112"/>
        <v/>
      </c>
      <c r="AG256" s="420"/>
      <c r="AH256" s="420"/>
      <c r="AI256" s="763" t="s">
        <v>323</v>
      </c>
      <c r="AJ256" s="815"/>
      <c r="AK256" s="816"/>
      <c r="AL256" s="560"/>
      <c r="AM256" s="561"/>
      <c r="AN256" s="562"/>
      <c r="AO256" s="420" t="str">
        <f t="shared" si="113"/>
        <v/>
      </c>
      <c r="AP256" s="420"/>
      <c r="AQ256" s="420"/>
      <c r="AR256" s="814" t="str">
        <f t="shared" si="114"/>
        <v/>
      </c>
      <c r="AS256" s="357"/>
      <c r="AT256" s="358"/>
      <c r="BG256" s="138" t="s">
        <v>323</v>
      </c>
      <c r="BH256" s="2">
        <f t="shared" si="115"/>
        <v>0</v>
      </c>
    </row>
    <row r="257" spans="2:60" ht="18" customHeight="1">
      <c r="B257" s="558"/>
      <c r="C257" s="420"/>
      <c r="D257" s="420"/>
      <c r="E257" s="560"/>
      <c r="F257" s="562"/>
      <c r="G257" s="817"/>
      <c r="H257" s="818"/>
      <c r="I257" s="560"/>
      <c r="J257" s="562"/>
      <c r="K257" s="560"/>
      <c r="L257" s="562"/>
      <c r="M257" s="560"/>
      <c r="N257" s="562"/>
      <c r="O257" s="560"/>
      <c r="P257" s="561"/>
      <c r="Q257" s="562"/>
      <c r="R257" s="420" t="str">
        <f t="shared" si="109"/>
        <v/>
      </c>
      <c r="S257" s="420"/>
      <c r="T257" s="420"/>
      <c r="U257" s="814" t="str">
        <f t="shared" si="110"/>
        <v/>
      </c>
      <c r="V257" s="357"/>
      <c r="W257" s="782"/>
      <c r="X257" s="402"/>
      <c r="Y257" s="402"/>
      <c r="Z257" s="560"/>
      <c r="AA257" s="561"/>
      <c r="AB257" s="562"/>
      <c r="AC257" s="420" t="str">
        <f t="shared" si="111"/>
        <v/>
      </c>
      <c r="AD257" s="420"/>
      <c r="AE257" s="420"/>
      <c r="AF257" s="420" t="str">
        <f t="shared" si="112"/>
        <v/>
      </c>
      <c r="AG257" s="420"/>
      <c r="AH257" s="420"/>
      <c r="AI257" s="763" t="s">
        <v>319</v>
      </c>
      <c r="AJ257" s="815"/>
      <c r="AK257" s="816"/>
      <c r="AL257" s="560"/>
      <c r="AM257" s="561"/>
      <c r="AN257" s="562"/>
      <c r="AO257" s="420" t="str">
        <f t="shared" si="113"/>
        <v/>
      </c>
      <c r="AP257" s="420"/>
      <c r="AQ257" s="420"/>
      <c r="AR257" s="814" t="str">
        <f t="shared" si="114"/>
        <v/>
      </c>
      <c r="AS257" s="357"/>
      <c r="AT257" s="358"/>
      <c r="BG257" s="138" t="s">
        <v>319</v>
      </c>
      <c r="BH257" s="2">
        <f t="shared" si="115"/>
        <v>0</v>
      </c>
    </row>
    <row r="258" spans="2:60" ht="18" customHeight="1">
      <c r="B258" s="558"/>
      <c r="C258" s="420"/>
      <c r="D258" s="420"/>
      <c r="E258" s="560"/>
      <c r="F258" s="562"/>
      <c r="G258" s="817"/>
      <c r="H258" s="818"/>
      <c r="I258" s="560"/>
      <c r="J258" s="562"/>
      <c r="K258" s="560"/>
      <c r="L258" s="562"/>
      <c r="M258" s="560"/>
      <c r="N258" s="562"/>
      <c r="O258" s="560"/>
      <c r="P258" s="561"/>
      <c r="Q258" s="562"/>
      <c r="R258" s="420" t="str">
        <f t="shared" si="109"/>
        <v/>
      </c>
      <c r="S258" s="420"/>
      <c r="T258" s="420"/>
      <c r="U258" s="814" t="str">
        <f t="shared" si="110"/>
        <v/>
      </c>
      <c r="V258" s="357"/>
      <c r="W258" s="782"/>
      <c r="X258" s="402"/>
      <c r="Y258" s="402"/>
      <c r="Z258" s="560"/>
      <c r="AA258" s="561"/>
      <c r="AB258" s="562"/>
      <c r="AC258" s="420" t="str">
        <f t="shared" si="111"/>
        <v/>
      </c>
      <c r="AD258" s="420"/>
      <c r="AE258" s="420"/>
      <c r="AF258" s="420" t="str">
        <f t="shared" si="112"/>
        <v/>
      </c>
      <c r="AG258" s="420"/>
      <c r="AH258" s="420"/>
      <c r="AI258" s="763" t="s">
        <v>320</v>
      </c>
      <c r="AJ258" s="815"/>
      <c r="AK258" s="816"/>
      <c r="AL258" s="560"/>
      <c r="AM258" s="561"/>
      <c r="AN258" s="562"/>
      <c r="AO258" s="420" t="str">
        <f t="shared" si="113"/>
        <v/>
      </c>
      <c r="AP258" s="420"/>
      <c r="AQ258" s="420"/>
      <c r="AR258" s="814" t="str">
        <f t="shared" si="114"/>
        <v/>
      </c>
      <c r="AS258" s="357"/>
      <c r="AT258" s="358"/>
      <c r="BG258" s="138" t="s">
        <v>320</v>
      </c>
      <c r="BH258" s="2">
        <f t="shared" si="115"/>
        <v>0</v>
      </c>
    </row>
    <row r="259" spans="2:60" ht="18" customHeight="1">
      <c r="B259" s="806"/>
      <c r="C259" s="420"/>
      <c r="D259" s="420"/>
      <c r="E259" s="560"/>
      <c r="F259" s="562"/>
      <c r="G259" s="817"/>
      <c r="H259" s="818"/>
      <c r="I259" s="560"/>
      <c r="J259" s="562"/>
      <c r="K259" s="560"/>
      <c r="L259" s="562"/>
      <c r="M259" s="560"/>
      <c r="N259" s="562"/>
      <c r="O259" s="560"/>
      <c r="P259" s="561"/>
      <c r="Q259" s="562"/>
      <c r="R259" s="420" t="str">
        <f t="shared" si="109"/>
        <v/>
      </c>
      <c r="S259" s="420"/>
      <c r="T259" s="420"/>
      <c r="U259" s="814" t="str">
        <f t="shared" si="110"/>
        <v/>
      </c>
      <c r="V259" s="357"/>
      <c r="W259" s="782"/>
      <c r="X259" s="402"/>
      <c r="Y259" s="402"/>
      <c r="Z259" s="560"/>
      <c r="AA259" s="561"/>
      <c r="AB259" s="562"/>
      <c r="AC259" s="420" t="str">
        <f t="shared" si="111"/>
        <v/>
      </c>
      <c r="AD259" s="420"/>
      <c r="AE259" s="420"/>
      <c r="AF259" s="420" t="str">
        <f t="shared" si="112"/>
        <v/>
      </c>
      <c r="AG259" s="420"/>
      <c r="AH259" s="420"/>
      <c r="AI259" s="763" t="s">
        <v>318</v>
      </c>
      <c r="AJ259" s="815"/>
      <c r="AK259" s="816"/>
      <c r="AL259" s="560"/>
      <c r="AM259" s="561"/>
      <c r="AN259" s="562"/>
      <c r="AO259" s="420" t="str">
        <f t="shared" si="113"/>
        <v/>
      </c>
      <c r="AP259" s="420"/>
      <c r="AQ259" s="420"/>
      <c r="AR259" s="814" t="str">
        <f t="shared" si="114"/>
        <v/>
      </c>
      <c r="AS259" s="357"/>
      <c r="AT259" s="358"/>
      <c r="BG259" s="138" t="s">
        <v>318</v>
      </c>
      <c r="BH259" s="2">
        <f t="shared" si="115"/>
        <v>0</v>
      </c>
    </row>
    <row r="260" spans="2:60" ht="18" customHeight="1">
      <c r="B260" s="806"/>
      <c r="C260" s="420"/>
      <c r="D260" s="420"/>
      <c r="E260" s="560"/>
      <c r="F260" s="562"/>
      <c r="G260" s="817"/>
      <c r="H260" s="818"/>
      <c r="I260" s="560"/>
      <c r="J260" s="562"/>
      <c r="K260" s="560"/>
      <c r="L260" s="562"/>
      <c r="M260" s="560"/>
      <c r="N260" s="562"/>
      <c r="O260" s="560"/>
      <c r="P260" s="561"/>
      <c r="Q260" s="562"/>
      <c r="R260" s="420" t="str">
        <f t="shared" si="109"/>
        <v/>
      </c>
      <c r="S260" s="420"/>
      <c r="T260" s="420"/>
      <c r="U260" s="814" t="str">
        <f t="shared" si="110"/>
        <v/>
      </c>
      <c r="V260" s="357"/>
      <c r="W260" s="782"/>
      <c r="X260" s="402"/>
      <c r="Y260" s="402"/>
      <c r="Z260" s="560"/>
      <c r="AA260" s="561"/>
      <c r="AB260" s="562"/>
      <c r="AC260" s="420" t="str">
        <f t="shared" si="111"/>
        <v/>
      </c>
      <c r="AD260" s="420"/>
      <c r="AE260" s="420"/>
      <c r="AF260" s="420" t="str">
        <f t="shared" si="112"/>
        <v/>
      </c>
      <c r="AG260" s="420"/>
      <c r="AH260" s="420"/>
      <c r="AI260" s="833"/>
      <c r="AJ260" s="833"/>
      <c r="AK260" s="833"/>
      <c r="AL260" s="833"/>
      <c r="AM260" s="833"/>
      <c r="AN260" s="833"/>
      <c r="AO260" s="834"/>
      <c r="AP260" s="835"/>
      <c r="AQ260" s="836"/>
      <c r="AR260" s="833"/>
      <c r="AS260" s="833"/>
      <c r="AT260" s="847"/>
    </row>
    <row r="261" spans="2:60" ht="18" customHeight="1">
      <c r="B261" s="806"/>
      <c r="C261" s="420"/>
      <c r="D261" s="420"/>
      <c r="E261" s="560"/>
      <c r="F261" s="562"/>
      <c r="G261" s="817"/>
      <c r="H261" s="818"/>
      <c r="I261" s="560"/>
      <c r="J261" s="562"/>
      <c r="K261" s="560"/>
      <c r="L261" s="562"/>
      <c r="M261" s="560"/>
      <c r="N261" s="562"/>
      <c r="O261" s="560"/>
      <c r="P261" s="561"/>
      <c r="Q261" s="562"/>
      <c r="R261" s="420" t="str">
        <f t="shared" si="109"/>
        <v/>
      </c>
      <c r="S261" s="420"/>
      <c r="T261" s="420"/>
      <c r="U261" s="814" t="str">
        <f t="shared" si="110"/>
        <v/>
      </c>
      <c r="V261" s="357"/>
      <c r="W261" s="782"/>
      <c r="X261" s="402"/>
      <c r="Y261" s="402"/>
      <c r="Z261" s="560"/>
      <c r="AA261" s="561"/>
      <c r="AB261" s="562"/>
      <c r="AC261" s="420" t="str">
        <f t="shared" si="111"/>
        <v/>
      </c>
      <c r="AD261" s="420"/>
      <c r="AE261" s="420"/>
      <c r="AF261" s="420" t="str">
        <f t="shared" si="112"/>
        <v/>
      </c>
      <c r="AG261" s="420"/>
      <c r="AH261" s="420"/>
      <c r="AI261" s="833"/>
      <c r="AJ261" s="833"/>
      <c r="AK261" s="833"/>
      <c r="AL261" s="833"/>
      <c r="AM261" s="833"/>
      <c r="AN261" s="833"/>
      <c r="AO261" s="834"/>
      <c r="AP261" s="835"/>
      <c r="AQ261" s="836"/>
      <c r="AR261" s="833"/>
      <c r="AS261" s="833"/>
      <c r="AT261" s="847"/>
    </row>
    <row r="262" spans="2:60" ht="18" customHeight="1">
      <c r="B262" s="806"/>
      <c r="C262" s="420"/>
      <c r="D262" s="420"/>
      <c r="E262" s="560"/>
      <c r="F262" s="562"/>
      <c r="G262" s="817"/>
      <c r="H262" s="818"/>
      <c r="I262" s="560"/>
      <c r="J262" s="562"/>
      <c r="K262" s="560"/>
      <c r="L262" s="562"/>
      <c r="M262" s="560"/>
      <c r="N262" s="562"/>
      <c r="O262" s="560"/>
      <c r="P262" s="561"/>
      <c r="Q262" s="562"/>
      <c r="R262" s="420" t="str">
        <f t="shared" si="109"/>
        <v/>
      </c>
      <c r="S262" s="420"/>
      <c r="T262" s="420"/>
      <c r="U262" s="814" t="str">
        <f t="shared" si="110"/>
        <v/>
      </c>
      <c r="V262" s="357"/>
      <c r="W262" s="782"/>
      <c r="X262" s="402"/>
      <c r="Y262" s="402"/>
      <c r="Z262" s="560"/>
      <c r="AA262" s="561"/>
      <c r="AB262" s="562"/>
      <c r="AC262" s="420" t="str">
        <f t="shared" si="111"/>
        <v/>
      </c>
      <c r="AD262" s="420"/>
      <c r="AE262" s="420"/>
      <c r="AF262" s="420" t="str">
        <f t="shared" si="112"/>
        <v/>
      </c>
      <c r="AG262" s="420"/>
      <c r="AH262" s="420"/>
      <c r="AI262" s="833"/>
      <c r="AJ262" s="833"/>
      <c r="AK262" s="833"/>
      <c r="AL262" s="833"/>
      <c r="AM262" s="833"/>
      <c r="AN262" s="833"/>
      <c r="AO262" s="833"/>
      <c r="AP262" s="833"/>
      <c r="AQ262" s="833"/>
      <c r="AR262" s="833"/>
      <c r="AS262" s="833"/>
      <c r="AT262" s="847"/>
    </row>
    <row r="263" spans="2:60" ht="18" customHeight="1">
      <c r="B263" s="806"/>
      <c r="C263" s="420"/>
      <c r="D263" s="420"/>
      <c r="E263" s="560"/>
      <c r="F263" s="562"/>
      <c r="G263" s="817"/>
      <c r="H263" s="818"/>
      <c r="I263" s="560"/>
      <c r="J263" s="562"/>
      <c r="K263" s="560"/>
      <c r="L263" s="562"/>
      <c r="M263" s="560"/>
      <c r="N263" s="562"/>
      <c r="O263" s="560"/>
      <c r="P263" s="561"/>
      <c r="Q263" s="562"/>
      <c r="R263" s="420" t="str">
        <f t="shared" si="109"/>
        <v/>
      </c>
      <c r="S263" s="420"/>
      <c r="T263" s="420"/>
      <c r="U263" s="814" t="str">
        <f t="shared" si="110"/>
        <v/>
      </c>
      <c r="V263" s="357"/>
      <c r="W263" s="782"/>
      <c r="X263" s="402"/>
      <c r="Y263" s="402"/>
      <c r="Z263" s="560"/>
      <c r="AA263" s="561"/>
      <c r="AB263" s="562"/>
      <c r="AC263" s="420" t="str">
        <f t="shared" si="111"/>
        <v/>
      </c>
      <c r="AD263" s="420"/>
      <c r="AE263" s="420"/>
      <c r="AF263" s="420" t="str">
        <f t="shared" si="112"/>
        <v/>
      </c>
      <c r="AG263" s="420"/>
      <c r="AH263" s="420"/>
      <c r="AI263" s="833"/>
      <c r="AJ263" s="833"/>
      <c r="AK263" s="833"/>
      <c r="AL263" s="833"/>
      <c r="AM263" s="833"/>
      <c r="AN263" s="833"/>
      <c r="AO263" s="833"/>
      <c r="AP263" s="833"/>
      <c r="AQ263" s="833"/>
      <c r="AR263" s="833"/>
      <c r="AS263" s="833"/>
      <c r="AT263" s="847"/>
    </row>
    <row r="264" spans="2:60" ht="18" customHeight="1">
      <c r="B264" s="806"/>
      <c r="C264" s="420"/>
      <c r="D264" s="420"/>
      <c r="E264" s="560"/>
      <c r="F264" s="562"/>
      <c r="G264" s="817"/>
      <c r="H264" s="818"/>
      <c r="I264" s="560"/>
      <c r="J264" s="562"/>
      <c r="K264" s="560"/>
      <c r="L264" s="562"/>
      <c r="M264" s="560"/>
      <c r="N264" s="562"/>
      <c r="O264" s="560"/>
      <c r="P264" s="561"/>
      <c r="Q264" s="562"/>
      <c r="R264" s="420" t="str">
        <f t="shared" si="109"/>
        <v/>
      </c>
      <c r="S264" s="420"/>
      <c r="T264" s="420"/>
      <c r="U264" s="814" t="str">
        <f t="shared" si="110"/>
        <v/>
      </c>
      <c r="V264" s="357"/>
      <c r="W264" s="782"/>
      <c r="X264" s="402"/>
      <c r="Y264" s="402"/>
      <c r="Z264" s="560"/>
      <c r="AA264" s="561"/>
      <c r="AB264" s="562"/>
      <c r="AC264" s="420" t="str">
        <f t="shared" si="111"/>
        <v/>
      </c>
      <c r="AD264" s="420"/>
      <c r="AE264" s="420"/>
      <c r="AF264" s="420" t="str">
        <f t="shared" si="112"/>
        <v/>
      </c>
      <c r="AG264" s="420"/>
      <c r="AH264" s="420"/>
      <c r="AI264" s="833"/>
      <c r="AJ264" s="833"/>
      <c r="AK264" s="833"/>
      <c r="AL264" s="833"/>
      <c r="AM264" s="833"/>
      <c r="AN264" s="833"/>
      <c r="AO264" s="833"/>
      <c r="AP264" s="833"/>
      <c r="AQ264" s="833"/>
      <c r="AR264" s="833"/>
      <c r="AS264" s="833"/>
      <c r="AT264" s="847"/>
    </row>
    <row r="265" spans="2:60" ht="18" customHeight="1">
      <c r="B265" s="806"/>
      <c r="C265" s="420"/>
      <c r="D265" s="420"/>
      <c r="E265" s="560"/>
      <c r="F265" s="562"/>
      <c r="G265" s="817"/>
      <c r="H265" s="818"/>
      <c r="I265" s="560"/>
      <c r="J265" s="562"/>
      <c r="K265" s="560"/>
      <c r="L265" s="562"/>
      <c r="M265" s="560"/>
      <c r="N265" s="562"/>
      <c r="O265" s="560"/>
      <c r="P265" s="561"/>
      <c r="Q265" s="562"/>
      <c r="R265" s="420" t="str">
        <f t="shared" si="109"/>
        <v/>
      </c>
      <c r="S265" s="420"/>
      <c r="T265" s="420"/>
      <c r="U265" s="814" t="str">
        <f t="shared" si="110"/>
        <v/>
      </c>
      <c r="V265" s="357"/>
      <c r="W265" s="782"/>
      <c r="X265" s="402"/>
      <c r="Y265" s="402"/>
      <c r="Z265" s="560"/>
      <c r="AA265" s="561"/>
      <c r="AB265" s="562"/>
      <c r="AC265" s="420" t="str">
        <f t="shared" si="111"/>
        <v/>
      </c>
      <c r="AD265" s="420"/>
      <c r="AE265" s="420"/>
      <c r="AF265" s="420" t="str">
        <f t="shared" si="112"/>
        <v/>
      </c>
      <c r="AG265" s="420"/>
      <c r="AH265" s="420"/>
      <c r="AI265" s="833"/>
      <c r="AJ265" s="833"/>
      <c r="AK265" s="833"/>
      <c r="AL265" s="833"/>
      <c r="AM265" s="833"/>
      <c r="AN265" s="833"/>
      <c r="AO265" s="833"/>
      <c r="AP265" s="833"/>
      <c r="AQ265" s="833"/>
      <c r="AR265" s="833"/>
      <c r="AS265" s="833"/>
      <c r="AT265" s="847"/>
    </row>
    <row r="266" spans="2:60" ht="18" customHeight="1">
      <c r="B266" s="806"/>
      <c r="C266" s="420"/>
      <c r="D266" s="420"/>
      <c r="E266" s="560"/>
      <c r="F266" s="562"/>
      <c r="G266" s="817"/>
      <c r="H266" s="818"/>
      <c r="I266" s="560"/>
      <c r="J266" s="562"/>
      <c r="K266" s="560"/>
      <c r="L266" s="562"/>
      <c r="M266" s="560"/>
      <c r="N266" s="562"/>
      <c r="O266" s="560"/>
      <c r="P266" s="561"/>
      <c r="Q266" s="562"/>
      <c r="R266" s="420" t="str">
        <f t="shared" si="109"/>
        <v/>
      </c>
      <c r="S266" s="420"/>
      <c r="T266" s="420"/>
      <c r="U266" s="814" t="str">
        <f t="shared" si="110"/>
        <v/>
      </c>
      <c r="V266" s="357"/>
      <c r="W266" s="782"/>
      <c r="X266" s="402"/>
      <c r="Y266" s="402"/>
      <c r="Z266" s="560"/>
      <c r="AA266" s="561"/>
      <c r="AB266" s="562"/>
      <c r="AC266" s="420" t="str">
        <f t="shared" si="111"/>
        <v/>
      </c>
      <c r="AD266" s="420"/>
      <c r="AE266" s="420"/>
      <c r="AF266" s="420" t="str">
        <f t="shared" si="112"/>
        <v/>
      </c>
      <c r="AG266" s="420"/>
      <c r="AH266" s="420"/>
      <c r="AI266" s="833"/>
      <c r="AJ266" s="833"/>
      <c r="AK266" s="833"/>
      <c r="AL266" s="833"/>
      <c r="AM266" s="833"/>
      <c r="AN266" s="833"/>
      <c r="AO266" s="833"/>
      <c r="AP266" s="833"/>
      <c r="AQ266" s="833"/>
      <c r="AR266" s="833"/>
      <c r="AS266" s="833"/>
      <c r="AT266" s="847"/>
    </row>
    <row r="267" spans="2:60" ht="18" customHeight="1">
      <c r="B267" s="806"/>
      <c r="C267" s="420"/>
      <c r="D267" s="420"/>
      <c r="E267" s="560"/>
      <c r="F267" s="562"/>
      <c r="G267" s="817"/>
      <c r="H267" s="818"/>
      <c r="I267" s="560"/>
      <c r="J267" s="562"/>
      <c r="K267" s="560"/>
      <c r="L267" s="562"/>
      <c r="M267" s="560"/>
      <c r="N267" s="562"/>
      <c r="O267" s="560"/>
      <c r="P267" s="561"/>
      <c r="Q267" s="562"/>
      <c r="R267" s="420" t="str">
        <f t="shared" si="109"/>
        <v/>
      </c>
      <c r="S267" s="420"/>
      <c r="T267" s="420"/>
      <c r="U267" s="814" t="str">
        <f t="shared" si="110"/>
        <v/>
      </c>
      <c r="V267" s="357"/>
      <c r="W267" s="782"/>
      <c r="X267" s="402"/>
      <c r="Y267" s="402"/>
      <c r="Z267" s="560"/>
      <c r="AA267" s="561"/>
      <c r="AB267" s="562"/>
      <c r="AC267" s="420" t="str">
        <f t="shared" si="111"/>
        <v/>
      </c>
      <c r="AD267" s="420"/>
      <c r="AE267" s="420"/>
      <c r="AF267" s="420" t="str">
        <f t="shared" si="112"/>
        <v/>
      </c>
      <c r="AG267" s="420"/>
      <c r="AH267" s="420"/>
      <c r="AI267" s="833"/>
      <c r="AJ267" s="833"/>
      <c r="AK267" s="833"/>
      <c r="AL267" s="833"/>
      <c r="AM267" s="833"/>
      <c r="AN267" s="833"/>
      <c r="AO267" s="833"/>
      <c r="AP267" s="833"/>
      <c r="AQ267" s="833"/>
      <c r="AR267" s="833"/>
      <c r="AS267" s="833"/>
      <c r="AT267" s="847"/>
    </row>
    <row r="268" spans="2:60" ht="18" customHeight="1">
      <c r="B268" s="806"/>
      <c r="C268" s="420"/>
      <c r="D268" s="420"/>
      <c r="E268" s="560"/>
      <c r="F268" s="562"/>
      <c r="G268" s="817"/>
      <c r="H268" s="818"/>
      <c r="I268" s="560"/>
      <c r="J268" s="562"/>
      <c r="K268" s="560"/>
      <c r="L268" s="562"/>
      <c r="M268" s="560"/>
      <c r="N268" s="562"/>
      <c r="O268" s="560"/>
      <c r="P268" s="561"/>
      <c r="Q268" s="562"/>
      <c r="R268" s="420" t="str">
        <f t="shared" si="109"/>
        <v/>
      </c>
      <c r="S268" s="420"/>
      <c r="T268" s="420"/>
      <c r="U268" s="814" t="str">
        <f t="shared" si="110"/>
        <v/>
      </c>
      <c r="V268" s="357"/>
      <c r="W268" s="782"/>
      <c r="X268" s="402"/>
      <c r="Y268" s="402"/>
      <c r="Z268" s="560"/>
      <c r="AA268" s="561"/>
      <c r="AB268" s="562"/>
      <c r="AC268" s="420" t="str">
        <f t="shared" si="111"/>
        <v/>
      </c>
      <c r="AD268" s="420"/>
      <c r="AE268" s="420"/>
      <c r="AF268" s="420" t="str">
        <f t="shared" si="112"/>
        <v/>
      </c>
      <c r="AG268" s="420"/>
      <c r="AH268" s="420"/>
      <c r="AI268" s="833"/>
      <c r="AJ268" s="833"/>
      <c r="AK268" s="833"/>
      <c r="AL268" s="833"/>
      <c r="AM268" s="833"/>
      <c r="AN268" s="833"/>
      <c r="AO268" s="833"/>
      <c r="AP268" s="833"/>
      <c r="AQ268" s="833"/>
      <c r="AR268" s="833"/>
      <c r="AS268" s="833"/>
      <c r="AT268" s="847"/>
    </row>
    <row r="269" spans="2:60" ht="18" customHeight="1">
      <c r="B269" s="806"/>
      <c r="C269" s="420"/>
      <c r="D269" s="420"/>
      <c r="E269" s="560"/>
      <c r="F269" s="562"/>
      <c r="G269" s="817"/>
      <c r="H269" s="818"/>
      <c r="I269" s="560"/>
      <c r="J269" s="562"/>
      <c r="K269" s="560"/>
      <c r="L269" s="562"/>
      <c r="M269" s="560"/>
      <c r="N269" s="562"/>
      <c r="O269" s="560"/>
      <c r="P269" s="561"/>
      <c r="Q269" s="562"/>
      <c r="R269" s="420" t="str">
        <f t="shared" si="109"/>
        <v/>
      </c>
      <c r="S269" s="420"/>
      <c r="T269" s="420"/>
      <c r="U269" s="814" t="str">
        <f t="shared" si="110"/>
        <v/>
      </c>
      <c r="V269" s="357"/>
      <c r="W269" s="782"/>
      <c r="X269" s="402"/>
      <c r="Y269" s="402"/>
      <c r="Z269" s="560"/>
      <c r="AA269" s="561"/>
      <c r="AB269" s="562"/>
      <c r="AC269" s="420" t="str">
        <f t="shared" si="111"/>
        <v/>
      </c>
      <c r="AD269" s="420"/>
      <c r="AE269" s="420"/>
      <c r="AF269" s="420" t="str">
        <f t="shared" si="112"/>
        <v/>
      </c>
      <c r="AG269" s="420"/>
      <c r="AH269" s="420"/>
      <c r="AI269" s="833"/>
      <c r="AJ269" s="833"/>
      <c r="AK269" s="833"/>
      <c r="AL269" s="833"/>
      <c r="AM269" s="833"/>
      <c r="AN269" s="833"/>
      <c r="AO269" s="833"/>
      <c r="AP269" s="833"/>
      <c r="AQ269" s="833"/>
      <c r="AR269" s="833"/>
      <c r="AS269" s="833"/>
      <c r="AT269" s="847"/>
    </row>
    <row r="270" spans="2:60" ht="18" customHeight="1">
      <c r="B270" s="806"/>
      <c r="C270" s="420"/>
      <c r="D270" s="420"/>
      <c r="E270" s="560"/>
      <c r="F270" s="562"/>
      <c r="G270" s="817"/>
      <c r="H270" s="818"/>
      <c r="I270" s="560"/>
      <c r="J270" s="562"/>
      <c r="K270" s="560"/>
      <c r="L270" s="562"/>
      <c r="M270" s="560"/>
      <c r="N270" s="562"/>
      <c r="O270" s="560"/>
      <c r="P270" s="561"/>
      <c r="Q270" s="562"/>
      <c r="R270" s="420" t="str">
        <f t="shared" si="109"/>
        <v/>
      </c>
      <c r="S270" s="420"/>
      <c r="T270" s="420"/>
      <c r="U270" s="814" t="str">
        <f t="shared" si="110"/>
        <v/>
      </c>
      <c r="V270" s="357"/>
      <c r="W270" s="782"/>
      <c r="X270" s="402"/>
      <c r="Y270" s="402"/>
      <c r="Z270" s="560"/>
      <c r="AA270" s="561"/>
      <c r="AB270" s="562"/>
      <c r="AC270" s="420" t="str">
        <f t="shared" si="111"/>
        <v/>
      </c>
      <c r="AD270" s="420"/>
      <c r="AE270" s="420"/>
      <c r="AF270" s="420" t="str">
        <f t="shared" si="112"/>
        <v/>
      </c>
      <c r="AG270" s="420"/>
      <c r="AH270" s="420"/>
      <c r="AI270" s="833"/>
      <c r="AJ270" s="833"/>
      <c r="AK270" s="833"/>
      <c r="AL270" s="833"/>
      <c r="AM270" s="833"/>
      <c r="AN270" s="833"/>
      <c r="AO270" s="833"/>
      <c r="AP270" s="833"/>
      <c r="AQ270" s="833"/>
      <c r="AR270" s="833"/>
      <c r="AS270" s="833"/>
      <c r="AT270" s="847"/>
    </row>
    <row r="271" spans="2:60" ht="18" customHeight="1">
      <c r="B271" s="806"/>
      <c r="C271" s="420"/>
      <c r="D271" s="420"/>
      <c r="E271" s="560"/>
      <c r="F271" s="562"/>
      <c r="G271" s="817"/>
      <c r="H271" s="818"/>
      <c r="I271" s="560"/>
      <c r="J271" s="562"/>
      <c r="K271" s="560"/>
      <c r="L271" s="562"/>
      <c r="M271" s="560"/>
      <c r="N271" s="562"/>
      <c r="O271" s="560"/>
      <c r="P271" s="561"/>
      <c r="Q271" s="562"/>
      <c r="R271" s="420" t="str">
        <f t="shared" si="109"/>
        <v/>
      </c>
      <c r="S271" s="420"/>
      <c r="T271" s="420"/>
      <c r="U271" s="814" t="str">
        <f t="shared" si="110"/>
        <v/>
      </c>
      <c r="V271" s="357"/>
      <c r="W271" s="782"/>
      <c r="X271" s="402"/>
      <c r="Y271" s="402"/>
      <c r="Z271" s="560"/>
      <c r="AA271" s="561"/>
      <c r="AB271" s="562"/>
      <c r="AC271" s="420" t="str">
        <f t="shared" si="111"/>
        <v/>
      </c>
      <c r="AD271" s="420"/>
      <c r="AE271" s="420"/>
      <c r="AF271" s="420" t="str">
        <f t="shared" si="112"/>
        <v/>
      </c>
      <c r="AG271" s="420"/>
      <c r="AH271" s="420"/>
      <c r="AI271" s="833"/>
      <c r="AJ271" s="833"/>
      <c r="AK271" s="833"/>
      <c r="AL271" s="833"/>
      <c r="AM271" s="833"/>
      <c r="AN271" s="833"/>
      <c r="AO271" s="833"/>
      <c r="AP271" s="833"/>
      <c r="AQ271" s="833"/>
      <c r="AR271" s="833"/>
      <c r="AS271" s="833"/>
      <c r="AT271" s="847"/>
    </row>
    <row r="272" spans="2:60" ht="18" customHeight="1">
      <c r="B272" s="806"/>
      <c r="C272" s="420"/>
      <c r="D272" s="420"/>
      <c r="E272" s="560"/>
      <c r="F272" s="562"/>
      <c r="G272" s="817"/>
      <c r="H272" s="818"/>
      <c r="I272" s="560"/>
      <c r="J272" s="562"/>
      <c r="K272" s="560"/>
      <c r="L272" s="562"/>
      <c r="M272" s="560"/>
      <c r="N272" s="562"/>
      <c r="O272" s="560"/>
      <c r="P272" s="561"/>
      <c r="Q272" s="562"/>
      <c r="R272" s="420" t="str">
        <f t="shared" si="109"/>
        <v/>
      </c>
      <c r="S272" s="420"/>
      <c r="T272" s="420"/>
      <c r="U272" s="814" t="str">
        <f t="shared" si="110"/>
        <v/>
      </c>
      <c r="V272" s="357"/>
      <c r="W272" s="782"/>
      <c r="X272" s="402"/>
      <c r="Y272" s="402"/>
      <c r="Z272" s="560"/>
      <c r="AA272" s="561"/>
      <c r="AB272" s="562"/>
      <c r="AC272" s="420" t="str">
        <f t="shared" si="111"/>
        <v/>
      </c>
      <c r="AD272" s="420"/>
      <c r="AE272" s="420"/>
      <c r="AF272" s="420" t="str">
        <f t="shared" si="112"/>
        <v/>
      </c>
      <c r="AG272" s="420"/>
      <c r="AH272" s="420"/>
      <c r="AI272" s="833"/>
      <c r="AJ272" s="833"/>
      <c r="AK272" s="833"/>
      <c r="AL272" s="833"/>
      <c r="AM272" s="833"/>
      <c r="AN272" s="833"/>
      <c r="AO272" s="833"/>
      <c r="AP272" s="833"/>
      <c r="AQ272" s="833"/>
      <c r="AR272" s="833"/>
      <c r="AS272" s="833"/>
      <c r="AT272" s="847"/>
    </row>
    <row r="273" spans="2:46" ht="18" customHeight="1">
      <c r="B273" s="806"/>
      <c r="C273" s="420"/>
      <c r="D273" s="420"/>
      <c r="E273" s="560"/>
      <c r="F273" s="562"/>
      <c r="G273" s="817"/>
      <c r="H273" s="818"/>
      <c r="I273" s="560"/>
      <c r="J273" s="562"/>
      <c r="K273" s="560"/>
      <c r="L273" s="562"/>
      <c r="M273" s="560"/>
      <c r="N273" s="562"/>
      <c r="O273" s="560"/>
      <c r="P273" s="561"/>
      <c r="Q273" s="562"/>
      <c r="R273" s="420" t="str">
        <f t="shared" si="109"/>
        <v/>
      </c>
      <c r="S273" s="420"/>
      <c r="T273" s="420"/>
      <c r="U273" s="814" t="str">
        <f t="shared" si="110"/>
        <v/>
      </c>
      <c r="V273" s="357"/>
      <c r="W273" s="782"/>
      <c r="X273" s="402"/>
      <c r="Y273" s="402"/>
      <c r="Z273" s="560"/>
      <c r="AA273" s="561"/>
      <c r="AB273" s="562"/>
      <c r="AC273" s="420" t="str">
        <f t="shared" si="111"/>
        <v/>
      </c>
      <c r="AD273" s="420"/>
      <c r="AE273" s="420"/>
      <c r="AF273" s="420" t="str">
        <f t="shared" si="112"/>
        <v/>
      </c>
      <c r="AG273" s="420"/>
      <c r="AH273" s="420"/>
      <c r="AI273" s="833"/>
      <c r="AJ273" s="833"/>
      <c r="AK273" s="833"/>
      <c r="AL273" s="833"/>
      <c r="AM273" s="833"/>
      <c r="AN273" s="833"/>
      <c r="AO273" s="833"/>
      <c r="AP273" s="833"/>
      <c r="AQ273" s="833"/>
      <c r="AR273" s="833"/>
      <c r="AS273" s="833"/>
      <c r="AT273" s="847"/>
    </row>
    <row r="274" spans="2:46" ht="18" customHeight="1">
      <c r="B274" s="806"/>
      <c r="C274" s="420"/>
      <c r="D274" s="420"/>
      <c r="E274" s="560"/>
      <c r="F274" s="562"/>
      <c r="G274" s="817"/>
      <c r="H274" s="818"/>
      <c r="I274" s="560"/>
      <c r="J274" s="562"/>
      <c r="K274" s="560"/>
      <c r="L274" s="562"/>
      <c r="M274" s="560"/>
      <c r="N274" s="562"/>
      <c r="O274" s="560"/>
      <c r="P274" s="561"/>
      <c r="Q274" s="562"/>
      <c r="R274" s="420" t="str">
        <f t="shared" si="109"/>
        <v/>
      </c>
      <c r="S274" s="420"/>
      <c r="T274" s="420"/>
      <c r="U274" s="814" t="str">
        <f t="shared" si="110"/>
        <v/>
      </c>
      <c r="V274" s="357"/>
      <c r="W274" s="782"/>
      <c r="X274" s="402"/>
      <c r="Y274" s="402"/>
      <c r="Z274" s="560"/>
      <c r="AA274" s="561"/>
      <c r="AB274" s="562"/>
      <c r="AC274" s="420" t="str">
        <f t="shared" si="111"/>
        <v/>
      </c>
      <c r="AD274" s="420"/>
      <c r="AE274" s="420"/>
      <c r="AF274" s="420" t="str">
        <f t="shared" si="112"/>
        <v/>
      </c>
      <c r="AG274" s="420"/>
      <c r="AH274" s="420"/>
      <c r="AI274" s="833"/>
      <c r="AJ274" s="833"/>
      <c r="AK274" s="833"/>
      <c r="AL274" s="833"/>
      <c r="AM274" s="833"/>
      <c r="AN274" s="833"/>
      <c r="AO274" s="833"/>
      <c r="AP274" s="833"/>
      <c r="AQ274" s="833"/>
      <c r="AR274" s="833"/>
      <c r="AS274" s="833"/>
      <c r="AT274" s="847"/>
    </row>
    <row r="275" spans="2:46" ht="18" customHeight="1">
      <c r="B275" s="806"/>
      <c r="C275" s="420"/>
      <c r="D275" s="420"/>
      <c r="E275" s="560"/>
      <c r="F275" s="562"/>
      <c r="G275" s="817"/>
      <c r="H275" s="818"/>
      <c r="I275" s="560"/>
      <c r="J275" s="562"/>
      <c r="K275" s="560"/>
      <c r="L275" s="562"/>
      <c r="M275" s="560"/>
      <c r="N275" s="562"/>
      <c r="O275" s="560"/>
      <c r="P275" s="561"/>
      <c r="Q275" s="562"/>
      <c r="R275" s="420" t="str">
        <f t="shared" si="109"/>
        <v/>
      </c>
      <c r="S275" s="420"/>
      <c r="T275" s="420"/>
      <c r="U275" s="814" t="str">
        <f t="shared" si="110"/>
        <v/>
      </c>
      <c r="V275" s="357"/>
      <c r="W275" s="782"/>
      <c r="X275" s="402"/>
      <c r="Y275" s="402"/>
      <c r="Z275" s="560"/>
      <c r="AA275" s="561"/>
      <c r="AB275" s="562"/>
      <c r="AC275" s="420" t="str">
        <f t="shared" si="111"/>
        <v/>
      </c>
      <c r="AD275" s="420"/>
      <c r="AE275" s="420"/>
      <c r="AF275" s="420" t="str">
        <f t="shared" si="112"/>
        <v/>
      </c>
      <c r="AG275" s="420"/>
      <c r="AH275" s="420"/>
      <c r="AI275" s="833"/>
      <c r="AJ275" s="833"/>
      <c r="AK275" s="833"/>
      <c r="AL275" s="833"/>
      <c r="AM275" s="833"/>
      <c r="AN275" s="833"/>
      <c r="AO275" s="833"/>
      <c r="AP275" s="833"/>
      <c r="AQ275" s="833"/>
      <c r="AR275" s="833"/>
      <c r="AS275" s="833"/>
      <c r="AT275" s="847"/>
    </row>
    <row r="276" spans="2:46" ht="18" customHeight="1">
      <c r="B276" s="806"/>
      <c r="C276" s="420"/>
      <c r="D276" s="420"/>
      <c r="E276" s="560"/>
      <c r="F276" s="562"/>
      <c r="G276" s="817"/>
      <c r="H276" s="818"/>
      <c r="I276" s="560"/>
      <c r="J276" s="562"/>
      <c r="K276" s="560"/>
      <c r="L276" s="562"/>
      <c r="M276" s="560"/>
      <c r="N276" s="562"/>
      <c r="O276" s="560"/>
      <c r="P276" s="561"/>
      <c r="Q276" s="562"/>
      <c r="R276" s="420" t="str">
        <f t="shared" si="109"/>
        <v/>
      </c>
      <c r="S276" s="420"/>
      <c r="T276" s="420"/>
      <c r="U276" s="814" t="str">
        <f t="shared" si="110"/>
        <v/>
      </c>
      <c r="V276" s="357"/>
      <c r="W276" s="782"/>
      <c r="X276" s="402"/>
      <c r="Y276" s="402"/>
      <c r="Z276" s="560"/>
      <c r="AA276" s="561"/>
      <c r="AB276" s="562"/>
      <c r="AC276" s="420" t="str">
        <f t="shared" si="111"/>
        <v/>
      </c>
      <c r="AD276" s="420"/>
      <c r="AE276" s="420"/>
      <c r="AF276" s="420" t="str">
        <f t="shared" si="112"/>
        <v/>
      </c>
      <c r="AG276" s="420"/>
      <c r="AH276" s="420"/>
      <c r="AI276" s="833"/>
      <c r="AJ276" s="833"/>
      <c r="AK276" s="833"/>
      <c r="AL276" s="833"/>
      <c r="AM276" s="833"/>
      <c r="AN276" s="833"/>
      <c r="AO276" s="833"/>
      <c r="AP276" s="833"/>
      <c r="AQ276" s="833"/>
      <c r="AR276" s="833"/>
      <c r="AS276" s="833"/>
      <c r="AT276" s="847"/>
    </row>
    <row r="277" spans="2:46" ht="18" customHeight="1">
      <c r="B277" s="806"/>
      <c r="C277" s="420"/>
      <c r="D277" s="420"/>
      <c r="E277" s="560"/>
      <c r="F277" s="562"/>
      <c r="G277" s="817"/>
      <c r="H277" s="818"/>
      <c r="I277" s="560"/>
      <c r="J277" s="562"/>
      <c r="K277" s="560"/>
      <c r="L277" s="562"/>
      <c r="M277" s="560"/>
      <c r="N277" s="562"/>
      <c r="O277" s="560"/>
      <c r="P277" s="561"/>
      <c r="Q277" s="562"/>
      <c r="R277" s="420" t="str">
        <f t="shared" si="109"/>
        <v/>
      </c>
      <c r="S277" s="420"/>
      <c r="T277" s="420"/>
      <c r="U277" s="814" t="str">
        <f t="shared" si="110"/>
        <v/>
      </c>
      <c r="V277" s="357"/>
      <c r="W277" s="782"/>
      <c r="X277" s="402"/>
      <c r="Y277" s="402"/>
      <c r="Z277" s="560"/>
      <c r="AA277" s="561"/>
      <c r="AB277" s="562"/>
      <c r="AC277" s="420" t="str">
        <f t="shared" si="111"/>
        <v/>
      </c>
      <c r="AD277" s="420"/>
      <c r="AE277" s="420"/>
      <c r="AF277" s="420" t="str">
        <f t="shared" si="112"/>
        <v/>
      </c>
      <c r="AG277" s="420"/>
      <c r="AH277" s="420"/>
      <c r="AI277" s="833"/>
      <c r="AJ277" s="833"/>
      <c r="AK277" s="833"/>
      <c r="AL277" s="833"/>
      <c r="AM277" s="833"/>
      <c r="AN277" s="833"/>
      <c r="AO277" s="833"/>
      <c r="AP277" s="833"/>
      <c r="AQ277" s="833"/>
      <c r="AR277" s="833"/>
      <c r="AS277" s="833"/>
      <c r="AT277" s="847"/>
    </row>
    <row r="278" spans="2:46" ht="18" customHeight="1">
      <c r="B278" s="806"/>
      <c r="C278" s="420"/>
      <c r="D278" s="420"/>
      <c r="E278" s="560"/>
      <c r="F278" s="562"/>
      <c r="G278" s="817"/>
      <c r="H278" s="818"/>
      <c r="I278" s="560"/>
      <c r="J278" s="562"/>
      <c r="K278" s="560"/>
      <c r="L278" s="562"/>
      <c r="M278" s="560"/>
      <c r="N278" s="562"/>
      <c r="O278" s="560"/>
      <c r="P278" s="561"/>
      <c r="Q278" s="562"/>
      <c r="R278" s="420" t="str">
        <f t="shared" si="109"/>
        <v/>
      </c>
      <c r="S278" s="420"/>
      <c r="T278" s="420"/>
      <c r="U278" s="814" t="str">
        <f t="shared" si="110"/>
        <v/>
      </c>
      <c r="V278" s="357"/>
      <c r="W278" s="782"/>
      <c r="X278" s="402"/>
      <c r="Y278" s="402"/>
      <c r="Z278" s="560"/>
      <c r="AA278" s="561"/>
      <c r="AB278" s="562"/>
      <c r="AC278" s="420" t="str">
        <f t="shared" si="111"/>
        <v/>
      </c>
      <c r="AD278" s="420"/>
      <c r="AE278" s="420"/>
      <c r="AF278" s="420" t="str">
        <f t="shared" si="112"/>
        <v/>
      </c>
      <c r="AG278" s="420"/>
      <c r="AH278" s="420"/>
      <c r="AI278" s="833"/>
      <c r="AJ278" s="833"/>
      <c r="AK278" s="833"/>
      <c r="AL278" s="833"/>
      <c r="AM278" s="833"/>
      <c r="AN278" s="833"/>
      <c r="AO278" s="833"/>
      <c r="AP278" s="833"/>
      <c r="AQ278" s="833"/>
      <c r="AR278" s="833"/>
      <c r="AS278" s="833"/>
      <c r="AT278" s="847"/>
    </row>
    <row r="279" spans="2:46" ht="18" customHeight="1">
      <c r="B279" s="806"/>
      <c r="C279" s="420"/>
      <c r="D279" s="420"/>
      <c r="E279" s="560"/>
      <c r="F279" s="562"/>
      <c r="G279" s="817"/>
      <c r="H279" s="818"/>
      <c r="I279" s="560"/>
      <c r="J279" s="562"/>
      <c r="K279" s="560"/>
      <c r="L279" s="562"/>
      <c r="M279" s="560"/>
      <c r="N279" s="562"/>
      <c r="O279" s="560"/>
      <c r="P279" s="561"/>
      <c r="Q279" s="562"/>
      <c r="R279" s="420" t="str">
        <f t="shared" si="109"/>
        <v/>
      </c>
      <c r="S279" s="420"/>
      <c r="T279" s="420"/>
      <c r="U279" s="814" t="str">
        <f t="shared" si="110"/>
        <v/>
      </c>
      <c r="V279" s="357"/>
      <c r="W279" s="782"/>
      <c r="X279" s="402"/>
      <c r="Y279" s="402"/>
      <c r="Z279" s="560"/>
      <c r="AA279" s="561"/>
      <c r="AB279" s="562"/>
      <c r="AC279" s="420" t="str">
        <f t="shared" si="111"/>
        <v/>
      </c>
      <c r="AD279" s="420"/>
      <c r="AE279" s="420"/>
      <c r="AF279" s="420" t="str">
        <f t="shared" si="112"/>
        <v/>
      </c>
      <c r="AG279" s="420"/>
      <c r="AH279" s="420"/>
      <c r="AI279" s="833"/>
      <c r="AJ279" s="833"/>
      <c r="AK279" s="833"/>
      <c r="AL279" s="833"/>
      <c r="AM279" s="833"/>
      <c r="AN279" s="833"/>
      <c r="AO279" s="833"/>
      <c r="AP279" s="833"/>
      <c r="AQ279" s="833"/>
      <c r="AR279" s="833"/>
      <c r="AS279" s="833"/>
      <c r="AT279" s="847"/>
    </row>
    <row r="280" spans="2:46" ht="18" customHeight="1">
      <c r="B280" s="806"/>
      <c r="C280" s="420"/>
      <c r="D280" s="420"/>
      <c r="E280" s="560"/>
      <c r="F280" s="562"/>
      <c r="G280" s="817"/>
      <c r="H280" s="818"/>
      <c r="I280" s="560"/>
      <c r="J280" s="562"/>
      <c r="K280" s="560"/>
      <c r="L280" s="562"/>
      <c r="M280" s="560"/>
      <c r="N280" s="562"/>
      <c r="O280" s="560"/>
      <c r="P280" s="561"/>
      <c r="Q280" s="562"/>
      <c r="R280" s="420" t="str">
        <f t="shared" si="109"/>
        <v/>
      </c>
      <c r="S280" s="420"/>
      <c r="T280" s="420"/>
      <c r="U280" s="814" t="str">
        <f t="shared" si="110"/>
        <v/>
      </c>
      <c r="V280" s="357"/>
      <c r="W280" s="782"/>
      <c r="X280" s="402"/>
      <c r="Y280" s="402"/>
      <c r="Z280" s="560"/>
      <c r="AA280" s="561"/>
      <c r="AB280" s="562"/>
      <c r="AC280" s="420" t="str">
        <f t="shared" si="111"/>
        <v/>
      </c>
      <c r="AD280" s="420"/>
      <c r="AE280" s="420"/>
      <c r="AF280" s="420" t="str">
        <f t="shared" si="112"/>
        <v/>
      </c>
      <c r="AG280" s="420"/>
      <c r="AH280" s="420"/>
      <c r="AI280" s="833"/>
      <c r="AJ280" s="833"/>
      <c r="AK280" s="833"/>
      <c r="AL280" s="833"/>
      <c r="AM280" s="833"/>
      <c r="AN280" s="833"/>
      <c r="AO280" s="833"/>
      <c r="AP280" s="833"/>
      <c r="AQ280" s="833"/>
      <c r="AR280" s="833"/>
      <c r="AS280" s="833"/>
      <c r="AT280" s="847"/>
    </row>
    <row r="281" spans="2:46" ht="18" customHeight="1">
      <c r="B281" s="806"/>
      <c r="C281" s="420"/>
      <c r="D281" s="420"/>
      <c r="E281" s="560"/>
      <c r="F281" s="562"/>
      <c r="G281" s="817"/>
      <c r="H281" s="818"/>
      <c r="I281" s="560"/>
      <c r="J281" s="562"/>
      <c r="K281" s="560"/>
      <c r="L281" s="562"/>
      <c r="M281" s="560"/>
      <c r="N281" s="562"/>
      <c r="O281" s="560"/>
      <c r="P281" s="561"/>
      <c r="Q281" s="562"/>
      <c r="R281" s="420" t="str">
        <f t="shared" si="109"/>
        <v/>
      </c>
      <c r="S281" s="420"/>
      <c r="T281" s="420"/>
      <c r="U281" s="814" t="str">
        <f t="shared" si="110"/>
        <v/>
      </c>
      <c r="V281" s="357"/>
      <c r="W281" s="782"/>
      <c r="X281" s="402"/>
      <c r="Y281" s="402"/>
      <c r="Z281" s="560"/>
      <c r="AA281" s="561"/>
      <c r="AB281" s="562"/>
      <c r="AC281" s="420" t="str">
        <f t="shared" si="111"/>
        <v/>
      </c>
      <c r="AD281" s="420"/>
      <c r="AE281" s="420"/>
      <c r="AF281" s="420" t="str">
        <f t="shared" si="112"/>
        <v/>
      </c>
      <c r="AG281" s="420"/>
      <c r="AH281" s="420"/>
      <c r="AI281" s="833"/>
      <c r="AJ281" s="833"/>
      <c r="AK281" s="833"/>
      <c r="AL281" s="833"/>
      <c r="AM281" s="833"/>
      <c r="AN281" s="833"/>
      <c r="AO281" s="833"/>
      <c r="AP281" s="833"/>
      <c r="AQ281" s="833"/>
      <c r="AR281" s="833"/>
      <c r="AS281" s="833"/>
      <c r="AT281" s="847"/>
    </row>
    <row r="282" spans="2:46" ht="18" customHeight="1">
      <c r="B282" s="806"/>
      <c r="C282" s="420"/>
      <c r="D282" s="420"/>
      <c r="E282" s="560"/>
      <c r="F282" s="562"/>
      <c r="G282" s="817"/>
      <c r="H282" s="818"/>
      <c r="I282" s="560"/>
      <c r="J282" s="562"/>
      <c r="K282" s="560"/>
      <c r="L282" s="562"/>
      <c r="M282" s="560"/>
      <c r="N282" s="562"/>
      <c r="O282" s="560"/>
      <c r="P282" s="561"/>
      <c r="Q282" s="562"/>
      <c r="R282" s="420" t="str">
        <f t="shared" si="109"/>
        <v/>
      </c>
      <c r="S282" s="420"/>
      <c r="T282" s="420"/>
      <c r="U282" s="814" t="str">
        <f t="shared" si="110"/>
        <v/>
      </c>
      <c r="V282" s="357"/>
      <c r="W282" s="782"/>
      <c r="X282" s="402"/>
      <c r="Y282" s="402"/>
      <c r="Z282" s="560"/>
      <c r="AA282" s="561"/>
      <c r="AB282" s="562"/>
      <c r="AC282" s="420" t="str">
        <f t="shared" si="111"/>
        <v/>
      </c>
      <c r="AD282" s="420"/>
      <c r="AE282" s="420"/>
      <c r="AF282" s="420" t="str">
        <f t="shared" si="112"/>
        <v/>
      </c>
      <c r="AG282" s="420"/>
      <c r="AH282" s="420"/>
      <c r="AI282" s="833"/>
      <c r="AJ282" s="833"/>
      <c r="AK282" s="833"/>
      <c r="AL282" s="833"/>
      <c r="AM282" s="833"/>
      <c r="AN282" s="833"/>
      <c r="AO282" s="833"/>
      <c r="AP282" s="833"/>
      <c r="AQ282" s="833"/>
      <c r="AR282" s="833"/>
      <c r="AS282" s="833"/>
      <c r="AT282" s="847"/>
    </row>
    <row r="283" spans="2:46" ht="18" customHeight="1">
      <c r="B283" s="806"/>
      <c r="C283" s="420"/>
      <c r="D283" s="420"/>
      <c r="E283" s="560"/>
      <c r="F283" s="562"/>
      <c r="G283" s="817"/>
      <c r="H283" s="818"/>
      <c r="I283" s="560"/>
      <c r="J283" s="562"/>
      <c r="K283" s="560"/>
      <c r="L283" s="562"/>
      <c r="M283" s="560"/>
      <c r="N283" s="562"/>
      <c r="O283" s="560"/>
      <c r="P283" s="561"/>
      <c r="Q283" s="562"/>
      <c r="R283" s="420" t="str">
        <f t="shared" si="109"/>
        <v/>
      </c>
      <c r="S283" s="420"/>
      <c r="T283" s="420"/>
      <c r="U283" s="814" t="str">
        <f t="shared" si="110"/>
        <v/>
      </c>
      <c r="V283" s="357"/>
      <c r="W283" s="782"/>
      <c r="X283" s="402"/>
      <c r="Y283" s="402"/>
      <c r="Z283" s="560"/>
      <c r="AA283" s="561"/>
      <c r="AB283" s="562"/>
      <c r="AC283" s="420" t="str">
        <f t="shared" si="111"/>
        <v/>
      </c>
      <c r="AD283" s="420"/>
      <c r="AE283" s="420"/>
      <c r="AF283" s="420" t="str">
        <f t="shared" si="112"/>
        <v/>
      </c>
      <c r="AG283" s="420"/>
      <c r="AH283" s="420"/>
      <c r="AI283" s="833"/>
      <c r="AJ283" s="833"/>
      <c r="AK283" s="833"/>
      <c r="AL283" s="833"/>
      <c r="AM283" s="833"/>
      <c r="AN283" s="833"/>
      <c r="AO283" s="833"/>
      <c r="AP283" s="833"/>
      <c r="AQ283" s="833"/>
      <c r="AR283" s="833"/>
      <c r="AS283" s="833"/>
      <c r="AT283" s="847"/>
    </row>
    <row r="284" spans="2:46" ht="18" customHeight="1">
      <c r="B284" s="806"/>
      <c r="C284" s="420"/>
      <c r="D284" s="420"/>
      <c r="E284" s="560"/>
      <c r="F284" s="562"/>
      <c r="G284" s="817"/>
      <c r="H284" s="818"/>
      <c r="I284" s="560"/>
      <c r="J284" s="562"/>
      <c r="K284" s="560"/>
      <c r="L284" s="562"/>
      <c r="M284" s="560"/>
      <c r="N284" s="562"/>
      <c r="O284" s="560"/>
      <c r="P284" s="561"/>
      <c r="Q284" s="562"/>
      <c r="R284" s="420" t="str">
        <f t="shared" si="109"/>
        <v/>
      </c>
      <c r="S284" s="420"/>
      <c r="T284" s="420"/>
      <c r="U284" s="814" t="str">
        <f t="shared" si="110"/>
        <v/>
      </c>
      <c r="V284" s="357"/>
      <c r="W284" s="782"/>
      <c r="X284" s="402"/>
      <c r="Y284" s="402"/>
      <c r="Z284" s="560"/>
      <c r="AA284" s="561"/>
      <c r="AB284" s="562"/>
      <c r="AC284" s="420" t="str">
        <f t="shared" si="111"/>
        <v/>
      </c>
      <c r="AD284" s="420"/>
      <c r="AE284" s="420"/>
      <c r="AF284" s="420" t="str">
        <f t="shared" si="112"/>
        <v/>
      </c>
      <c r="AG284" s="420"/>
      <c r="AH284" s="420"/>
      <c r="AI284" s="833"/>
      <c r="AJ284" s="833"/>
      <c r="AK284" s="833"/>
      <c r="AL284" s="833"/>
      <c r="AM284" s="833"/>
      <c r="AN284" s="833"/>
      <c r="AO284" s="833"/>
      <c r="AP284" s="833"/>
      <c r="AQ284" s="833"/>
      <c r="AR284" s="833"/>
      <c r="AS284" s="833"/>
      <c r="AT284" s="847"/>
    </row>
    <row r="285" spans="2:46" ht="18" customHeight="1">
      <c r="B285" s="806"/>
      <c r="C285" s="420"/>
      <c r="D285" s="420"/>
      <c r="E285" s="560"/>
      <c r="F285" s="562"/>
      <c r="G285" s="817"/>
      <c r="H285" s="818"/>
      <c r="I285" s="560"/>
      <c r="J285" s="562"/>
      <c r="K285" s="560"/>
      <c r="L285" s="562"/>
      <c r="M285" s="560"/>
      <c r="N285" s="562"/>
      <c r="O285" s="560"/>
      <c r="P285" s="561"/>
      <c r="Q285" s="562"/>
      <c r="R285" s="420" t="str">
        <f t="shared" si="109"/>
        <v/>
      </c>
      <c r="S285" s="420"/>
      <c r="T285" s="420"/>
      <c r="U285" s="814" t="str">
        <f t="shared" si="110"/>
        <v/>
      </c>
      <c r="V285" s="357"/>
      <c r="W285" s="782"/>
      <c r="X285" s="402"/>
      <c r="Y285" s="402"/>
      <c r="Z285" s="560"/>
      <c r="AA285" s="561"/>
      <c r="AB285" s="562"/>
      <c r="AC285" s="420" t="str">
        <f t="shared" si="111"/>
        <v/>
      </c>
      <c r="AD285" s="420"/>
      <c r="AE285" s="420"/>
      <c r="AF285" s="420" t="str">
        <f t="shared" si="112"/>
        <v/>
      </c>
      <c r="AG285" s="420"/>
      <c r="AH285" s="420"/>
      <c r="AI285" s="833"/>
      <c r="AJ285" s="833"/>
      <c r="AK285" s="833"/>
      <c r="AL285" s="833"/>
      <c r="AM285" s="833"/>
      <c r="AN285" s="833"/>
      <c r="AO285" s="833"/>
      <c r="AP285" s="833"/>
      <c r="AQ285" s="833"/>
      <c r="AR285" s="833"/>
      <c r="AS285" s="833"/>
      <c r="AT285" s="847"/>
    </row>
    <row r="286" spans="2:46" ht="18" customHeight="1">
      <c r="B286" s="806"/>
      <c r="C286" s="420"/>
      <c r="D286" s="420"/>
      <c r="E286" s="560"/>
      <c r="F286" s="562"/>
      <c r="G286" s="817"/>
      <c r="H286" s="818"/>
      <c r="I286" s="560"/>
      <c r="J286" s="562"/>
      <c r="K286" s="560"/>
      <c r="L286" s="562"/>
      <c r="M286" s="560"/>
      <c r="N286" s="562"/>
      <c r="O286" s="560"/>
      <c r="P286" s="561"/>
      <c r="Q286" s="562"/>
      <c r="R286" s="420" t="str">
        <f t="shared" si="109"/>
        <v/>
      </c>
      <c r="S286" s="420"/>
      <c r="T286" s="420"/>
      <c r="U286" s="814" t="str">
        <f t="shared" si="110"/>
        <v/>
      </c>
      <c r="V286" s="357"/>
      <c r="W286" s="782"/>
      <c r="X286" s="402"/>
      <c r="Y286" s="402"/>
      <c r="Z286" s="560"/>
      <c r="AA286" s="561"/>
      <c r="AB286" s="562"/>
      <c r="AC286" s="420" t="str">
        <f t="shared" si="111"/>
        <v/>
      </c>
      <c r="AD286" s="420"/>
      <c r="AE286" s="420"/>
      <c r="AF286" s="420" t="str">
        <f t="shared" si="112"/>
        <v/>
      </c>
      <c r="AG286" s="420"/>
      <c r="AH286" s="420"/>
      <c r="AI286" s="833"/>
      <c r="AJ286" s="833"/>
      <c r="AK286" s="833"/>
      <c r="AL286" s="833"/>
      <c r="AM286" s="833"/>
      <c r="AN286" s="833"/>
      <c r="AO286" s="833"/>
      <c r="AP286" s="833"/>
      <c r="AQ286" s="833"/>
      <c r="AR286" s="833"/>
      <c r="AS286" s="833"/>
      <c r="AT286" s="847"/>
    </row>
    <row r="287" spans="2:46" ht="18" customHeight="1">
      <c r="B287" s="806"/>
      <c r="C287" s="420"/>
      <c r="D287" s="420"/>
      <c r="E287" s="560"/>
      <c r="F287" s="562"/>
      <c r="G287" s="817"/>
      <c r="H287" s="818"/>
      <c r="I287" s="560"/>
      <c r="J287" s="562"/>
      <c r="K287" s="560"/>
      <c r="L287" s="562"/>
      <c r="M287" s="560"/>
      <c r="N287" s="562"/>
      <c r="O287" s="560"/>
      <c r="P287" s="561"/>
      <c r="Q287" s="562"/>
      <c r="R287" s="420" t="str">
        <f t="shared" si="109"/>
        <v/>
      </c>
      <c r="S287" s="420"/>
      <c r="T287" s="420"/>
      <c r="U287" s="814" t="str">
        <f t="shared" si="110"/>
        <v/>
      </c>
      <c r="V287" s="357"/>
      <c r="W287" s="782"/>
      <c r="X287" s="402"/>
      <c r="Y287" s="402"/>
      <c r="Z287" s="560"/>
      <c r="AA287" s="561"/>
      <c r="AB287" s="562"/>
      <c r="AC287" s="420" t="str">
        <f t="shared" si="111"/>
        <v/>
      </c>
      <c r="AD287" s="420"/>
      <c r="AE287" s="420"/>
      <c r="AF287" s="420" t="str">
        <f t="shared" si="112"/>
        <v/>
      </c>
      <c r="AG287" s="420"/>
      <c r="AH287" s="420"/>
      <c r="AI287" s="833"/>
      <c r="AJ287" s="833"/>
      <c r="AK287" s="833"/>
      <c r="AL287" s="833"/>
      <c r="AM287" s="833"/>
      <c r="AN287" s="833"/>
      <c r="AO287" s="833"/>
      <c r="AP287" s="833"/>
      <c r="AQ287" s="833"/>
      <c r="AR287" s="833"/>
      <c r="AS287" s="833"/>
      <c r="AT287" s="847"/>
    </row>
    <row r="288" spans="2:46" ht="18" customHeight="1">
      <c r="B288" s="806"/>
      <c r="C288" s="420"/>
      <c r="D288" s="420"/>
      <c r="E288" s="560"/>
      <c r="F288" s="562"/>
      <c r="G288" s="817"/>
      <c r="H288" s="818"/>
      <c r="I288" s="560"/>
      <c r="J288" s="562"/>
      <c r="K288" s="560"/>
      <c r="L288" s="562"/>
      <c r="M288" s="560"/>
      <c r="N288" s="562"/>
      <c r="O288" s="560"/>
      <c r="P288" s="561"/>
      <c r="Q288" s="562"/>
      <c r="R288" s="420" t="str">
        <f t="shared" si="109"/>
        <v/>
      </c>
      <c r="S288" s="420"/>
      <c r="T288" s="420"/>
      <c r="U288" s="814" t="str">
        <f t="shared" si="110"/>
        <v/>
      </c>
      <c r="V288" s="357"/>
      <c r="W288" s="782"/>
      <c r="X288" s="402"/>
      <c r="Y288" s="402"/>
      <c r="Z288" s="560"/>
      <c r="AA288" s="561"/>
      <c r="AB288" s="562"/>
      <c r="AC288" s="420" t="str">
        <f t="shared" si="111"/>
        <v/>
      </c>
      <c r="AD288" s="420"/>
      <c r="AE288" s="420"/>
      <c r="AF288" s="420" t="str">
        <f t="shared" si="112"/>
        <v/>
      </c>
      <c r="AG288" s="420"/>
      <c r="AH288" s="420"/>
      <c r="AI288" s="833"/>
      <c r="AJ288" s="833"/>
      <c r="AK288" s="833"/>
      <c r="AL288" s="833"/>
      <c r="AM288" s="833"/>
      <c r="AN288" s="833"/>
      <c r="AO288" s="833"/>
      <c r="AP288" s="833"/>
      <c r="AQ288" s="833"/>
      <c r="AR288" s="833"/>
      <c r="AS288" s="833"/>
      <c r="AT288" s="847"/>
    </row>
    <row r="289" spans="2:46" ht="18" customHeight="1">
      <c r="B289" s="806"/>
      <c r="C289" s="420"/>
      <c r="D289" s="420"/>
      <c r="E289" s="560"/>
      <c r="F289" s="562"/>
      <c r="G289" s="817"/>
      <c r="H289" s="818"/>
      <c r="I289" s="560"/>
      <c r="J289" s="562"/>
      <c r="K289" s="560"/>
      <c r="L289" s="562"/>
      <c r="M289" s="560"/>
      <c r="N289" s="562"/>
      <c r="O289" s="560"/>
      <c r="P289" s="561"/>
      <c r="Q289" s="562"/>
      <c r="R289" s="420" t="str">
        <f t="shared" si="109"/>
        <v/>
      </c>
      <c r="S289" s="420"/>
      <c r="T289" s="420"/>
      <c r="U289" s="814" t="str">
        <f t="shared" si="110"/>
        <v/>
      </c>
      <c r="V289" s="357"/>
      <c r="W289" s="782"/>
      <c r="X289" s="402"/>
      <c r="Y289" s="402"/>
      <c r="Z289" s="560"/>
      <c r="AA289" s="561"/>
      <c r="AB289" s="562"/>
      <c r="AC289" s="420" t="str">
        <f t="shared" si="111"/>
        <v/>
      </c>
      <c r="AD289" s="420"/>
      <c r="AE289" s="420"/>
      <c r="AF289" s="420" t="str">
        <f t="shared" si="112"/>
        <v/>
      </c>
      <c r="AG289" s="420"/>
      <c r="AH289" s="420"/>
      <c r="AI289" s="833"/>
      <c r="AJ289" s="833"/>
      <c r="AK289" s="833"/>
      <c r="AL289" s="833"/>
      <c r="AM289" s="833"/>
      <c r="AN289" s="833"/>
      <c r="AO289" s="833"/>
      <c r="AP289" s="833"/>
      <c r="AQ289" s="833"/>
      <c r="AR289" s="833"/>
      <c r="AS289" s="833"/>
      <c r="AT289" s="847"/>
    </row>
    <row r="290" spans="2:46" ht="18" customHeight="1">
      <c r="B290" s="806"/>
      <c r="C290" s="420"/>
      <c r="D290" s="420"/>
      <c r="E290" s="560"/>
      <c r="F290" s="562"/>
      <c r="G290" s="817"/>
      <c r="H290" s="818"/>
      <c r="I290" s="560"/>
      <c r="J290" s="562"/>
      <c r="K290" s="560"/>
      <c r="L290" s="562"/>
      <c r="M290" s="560"/>
      <c r="N290" s="562"/>
      <c r="O290" s="560"/>
      <c r="P290" s="561"/>
      <c r="Q290" s="562"/>
      <c r="R290" s="420" t="str">
        <f t="shared" si="109"/>
        <v/>
      </c>
      <c r="S290" s="420"/>
      <c r="T290" s="420"/>
      <c r="U290" s="814" t="str">
        <f t="shared" si="110"/>
        <v/>
      </c>
      <c r="V290" s="357"/>
      <c r="W290" s="782"/>
      <c r="X290" s="402"/>
      <c r="Y290" s="402"/>
      <c r="Z290" s="560"/>
      <c r="AA290" s="561"/>
      <c r="AB290" s="562"/>
      <c r="AC290" s="420" t="str">
        <f t="shared" si="111"/>
        <v/>
      </c>
      <c r="AD290" s="420"/>
      <c r="AE290" s="420"/>
      <c r="AF290" s="420" t="str">
        <f t="shared" si="112"/>
        <v/>
      </c>
      <c r="AG290" s="420"/>
      <c r="AH290" s="420"/>
      <c r="AI290" s="833"/>
      <c r="AJ290" s="833"/>
      <c r="AK290" s="833"/>
      <c r="AL290" s="833"/>
      <c r="AM290" s="833"/>
      <c r="AN290" s="833"/>
      <c r="AO290" s="833"/>
      <c r="AP290" s="833"/>
      <c r="AQ290" s="833"/>
      <c r="AR290" s="833"/>
      <c r="AS290" s="833"/>
      <c r="AT290" s="847"/>
    </row>
    <row r="291" spans="2:46" ht="18" customHeight="1">
      <c r="B291" s="806"/>
      <c r="C291" s="420"/>
      <c r="D291" s="420"/>
      <c r="E291" s="560"/>
      <c r="F291" s="562"/>
      <c r="G291" s="817"/>
      <c r="H291" s="818"/>
      <c r="I291" s="560"/>
      <c r="J291" s="562"/>
      <c r="K291" s="560"/>
      <c r="L291" s="562"/>
      <c r="M291" s="560"/>
      <c r="N291" s="562"/>
      <c r="O291" s="560"/>
      <c r="P291" s="561"/>
      <c r="Q291" s="562"/>
      <c r="R291" s="420" t="str">
        <f t="shared" si="109"/>
        <v/>
      </c>
      <c r="S291" s="420"/>
      <c r="T291" s="420"/>
      <c r="U291" s="814" t="str">
        <f t="shared" si="110"/>
        <v/>
      </c>
      <c r="V291" s="357"/>
      <c r="W291" s="782"/>
      <c r="X291" s="402"/>
      <c r="Y291" s="402"/>
      <c r="Z291" s="560"/>
      <c r="AA291" s="561"/>
      <c r="AB291" s="562"/>
      <c r="AC291" s="420" t="str">
        <f t="shared" si="111"/>
        <v/>
      </c>
      <c r="AD291" s="420"/>
      <c r="AE291" s="420"/>
      <c r="AF291" s="420" t="str">
        <f t="shared" si="112"/>
        <v/>
      </c>
      <c r="AG291" s="420"/>
      <c r="AH291" s="420"/>
      <c r="AI291" s="833"/>
      <c r="AJ291" s="833"/>
      <c r="AK291" s="833"/>
      <c r="AL291" s="833"/>
      <c r="AM291" s="833"/>
      <c r="AN291" s="833"/>
      <c r="AO291" s="833"/>
      <c r="AP291" s="833"/>
      <c r="AQ291" s="833"/>
      <c r="AR291" s="833"/>
      <c r="AS291" s="833"/>
      <c r="AT291" s="847"/>
    </row>
    <row r="292" spans="2:46" ht="18" customHeight="1">
      <c r="B292" s="806"/>
      <c r="C292" s="420"/>
      <c r="D292" s="420"/>
      <c r="E292" s="560"/>
      <c r="F292" s="562"/>
      <c r="G292" s="817"/>
      <c r="H292" s="818"/>
      <c r="I292" s="560"/>
      <c r="J292" s="562"/>
      <c r="K292" s="560"/>
      <c r="L292" s="562"/>
      <c r="M292" s="560"/>
      <c r="N292" s="562"/>
      <c r="O292" s="560"/>
      <c r="P292" s="561"/>
      <c r="Q292" s="562"/>
      <c r="R292" s="420" t="str">
        <f t="shared" si="109"/>
        <v/>
      </c>
      <c r="S292" s="420"/>
      <c r="T292" s="420"/>
      <c r="U292" s="814" t="str">
        <f t="shared" si="110"/>
        <v/>
      </c>
      <c r="V292" s="357"/>
      <c r="W292" s="782"/>
      <c r="X292" s="402"/>
      <c r="Y292" s="402"/>
      <c r="Z292" s="560"/>
      <c r="AA292" s="561"/>
      <c r="AB292" s="562"/>
      <c r="AC292" s="420" t="str">
        <f t="shared" si="111"/>
        <v/>
      </c>
      <c r="AD292" s="420"/>
      <c r="AE292" s="420"/>
      <c r="AF292" s="420" t="str">
        <f t="shared" si="112"/>
        <v/>
      </c>
      <c r="AG292" s="420"/>
      <c r="AH292" s="420"/>
      <c r="AI292" s="833"/>
      <c r="AJ292" s="833"/>
      <c r="AK292" s="833"/>
      <c r="AL292" s="833"/>
      <c r="AM292" s="833"/>
      <c r="AN292" s="833"/>
      <c r="AO292" s="833"/>
      <c r="AP292" s="833"/>
      <c r="AQ292" s="833"/>
      <c r="AR292" s="833"/>
      <c r="AS292" s="833"/>
      <c r="AT292" s="847"/>
    </row>
    <row r="293" spans="2:46" ht="18" customHeight="1">
      <c r="B293" s="806"/>
      <c r="C293" s="420"/>
      <c r="D293" s="420"/>
      <c r="E293" s="560"/>
      <c r="F293" s="562"/>
      <c r="G293" s="817"/>
      <c r="H293" s="818"/>
      <c r="I293" s="560"/>
      <c r="J293" s="562"/>
      <c r="K293" s="560"/>
      <c r="L293" s="562"/>
      <c r="M293" s="560"/>
      <c r="N293" s="562"/>
      <c r="O293" s="560"/>
      <c r="P293" s="561"/>
      <c r="Q293" s="562"/>
      <c r="R293" s="420" t="str">
        <f t="shared" si="109"/>
        <v/>
      </c>
      <c r="S293" s="420"/>
      <c r="T293" s="420"/>
      <c r="U293" s="814" t="str">
        <f t="shared" si="110"/>
        <v/>
      </c>
      <c r="V293" s="357"/>
      <c r="W293" s="782"/>
      <c r="X293" s="402"/>
      <c r="Y293" s="402"/>
      <c r="Z293" s="560"/>
      <c r="AA293" s="561"/>
      <c r="AB293" s="562"/>
      <c r="AC293" s="420" t="str">
        <f t="shared" si="111"/>
        <v/>
      </c>
      <c r="AD293" s="420"/>
      <c r="AE293" s="420"/>
      <c r="AF293" s="420" t="str">
        <f t="shared" si="112"/>
        <v/>
      </c>
      <c r="AG293" s="420"/>
      <c r="AH293" s="420"/>
      <c r="AI293" s="833"/>
      <c r="AJ293" s="833"/>
      <c r="AK293" s="833"/>
      <c r="AL293" s="833"/>
      <c r="AM293" s="833"/>
      <c r="AN293" s="833"/>
      <c r="AO293" s="833"/>
      <c r="AP293" s="833"/>
      <c r="AQ293" s="833"/>
      <c r="AR293" s="833"/>
      <c r="AS293" s="833"/>
      <c r="AT293" s="847"/>
    </row>
    <row r="294" spans="2:46" ht="18" customHeight="1">
      <c r="B294" s="806"/>
      <c r="C294" s="420"/>
      <c r="D294" s="420"/>
      <c r="E294" s="560"/>
      <c r="F294" s="562"/>
      <c r="G294" s="817"/>
      <c r="H294" s="818"/>
      <c r="I294" s="560"/>
      <c r="J294" s="562"/>
      <c r="K294" s="560"/>
      <c r="L294" s="562"/>
      <c r="M294" s="560"/>
      <c r="N294" s="562"/>
      <c r="O294" s="560"/>
      <c r="P294" s="561"/>
      <c r="Q294" s="562"/>
      <c r="R294" s="420" t="str">
        <f t="shared" si="109"/>
        <v/>
      </c>
      <c r="S294" s="420"/>
      <c r="T294" s="420"/>
      <c r="U294" s="814" t="str">
        <f t="shared" si="110"/>
        <v/>
      </c>
      <c r="V294" s="357"/>
      <c r="W294" s="782"/>
      <c r="X294" s="402"/>
      <c r="Y294" s="402"/>
      <c r="Z294" s="560"/>
      <c r="AA294" s="561"/>
      <c r="AB294" s="562"/>
      <c r="AC294" s="420" t="str">
        <f t="shared" si="111"/>
        <v/>
      </c>
      <c r="AD294" s="420"/>
      <c r="AE294" s="420"/>
      <c r="AF294" s="420" t="str">
        <f t="shared" si="112"/>
        <v/>
      </c>
      <c r="AG294" s="420"/>
      <c r="AH294" s="420"/>
      <c r="AI294" s="833"/>
      <c r="AJ294" s="833"/>
      <c r="AK294" s="833"/>
      <c r="AL294" s="833"/>
      <c r="AM294" s="833"/>
      <c r="AN294" s="833"/>
      <c r="AO294" s="833"/>
      <c r="AP294" s="833"/>
      <c r="AQ294" s="833"/>
      <c r="AR294" s="833"/>
      <c r="AS294" s="833"/>
      <c r="AT294" s="847"/>
    </row>
    <row r="295" spans="2:46" ht="18" customHeight="1">
      <c r="B295" s="806"/>
      <c r="C295" s="420"/>
      <c r="D295" s="420"/>
      <c r="E295" s="560"/>
      <c r="F295" s="562"/>
      <c r="G295" s="817"/>
      <c r="H295" s="818"/>
      <c r="I295" s="560"/>
      <c r="J295" s="562"/>
      <c r="K295" s="560"/>
      <c r="L295" s="562"/>
      <c r="M295" s="560"/>
      <c r="N295" s="562"/>
      <c r="O295" s="560"/>
      <c r="P295" s="561"/>
      <c r="Q295" s="562"/>
      <c r="R295" s="420" t="str">
        <f t="shared" si="109"/>
        <v/>
      </c>
      <c r="S295" s="420"/>
      <c r="T295" s="420"/>
      <c r="U295" s="814" t="str">
        <f t="shared" si="110"/>
        <v/>
      </c>
      <c r="V295" s="357"/>
      <c r="W295" s="782"/>
      <c r="X295" s="402"/>
      <c r="Y295" s="402"/>
      <c r="Z295" s="560"/>
      <c r="AA295" s="561"/>
      <c r="AB295" s="562"/>
      <c r="AC295" s="420" t="str">
        <f t="shared" si="111"/>
        <v/>
      </c>
      <c r="AD295" s="420"/>
      <c r="AE295" s="420"/>
      <c r="AF295" s="420" t="str">
        <f t="shared" si="112"/>
        <v/>
      </c>
      <c r="AG295" s="420"/>
      <c r="AH295" s="420"/>
      <c r="AI295" s="833"/>
      <c r="AJ295" s="833"/>
      <c r="AK295" s="833"/>
      <c r="AL295" s="833"/>
      <c r="AM295" s="833"/>
      <c r="AN295" s="833"/>
      <c r="AO295" s="833"/>
      <c r="AP295" s="833"/>
      <c r="AQ295" s="833"/>
      <c r="AR295" s="833"/>
      <c r="AS295" s="833"/>
      <c r="AT295" s="847"/>
    </row>
    <row r="296" spans="2:46" ht="18" customHeight="1">
      <c r="B296" s="806"/>
      <c r="C296" s="420"/>
      <c r="D296" s="420"/>
      <c r="E296" s="560"/>
      <c r="F296" s="562"/>
      <c r="G296" s="817"/>
      <c r="H296" s="818"/>
      <c r="I296" s="560"/>
      <c r="J296" s="562"/>
      <c r="K296" s="560"/>
      <c r="L296" s="562"/>
      <c r="M296" s="560"/>
      <c r="N296" s="562"/>
      <c r="O296" s="560"/>
      <c r="P296" s="561"/>
      <c r="Q296" s="562"/>
      <c r="R296" s="420" t="str">
        <f t="shared" si="109"/>
        <v/>
      </c>
      <c r="S296" s="420"/>
      <c r="T296" s="420"/>
      <c r="U296" s="814" t="str">
        <f t="shared" si="110"/>
        <v/>
      </c>
      <c r="V296" s="357"/>
      <c r="W296" s="782"/>
      <c r="X296" s="402"/>
      <c r="Y296" s="402"/>
      <c r="Z296" s="560"/>
      <c r="AA296" s="561"/>
      <c r="AB296" s="562"/>
      <c r="AC296" s="420" t="str">
        <f t="shared" si="111"/>
        <v/>
      </c>
      <c r="AD296" s="420"/>
      <c r="AE296" s="420"/>
      <c r="AF296" s="420" t="str">
        <f t="shared" si="112"/>
        <v/>
      </c>
      <c r="AG296" s="420"/>
      <c r="AH296" s="420"/>
      <c r="AI296" s="833"/>
      <c r="AJ296" s="833"/>
      <c r="AK296" s="833"/>
      <c r="AL296" s="833"/>
      <c r="AM296" s="833"/>
      <c r="AN296" s="833"/>
      <c r="AO296" s="833"/>
      <c r="AP296" s="833"/>
      <c r="AQ296" s="833"/>
      <c r="AR296" s="833"/>
      <c r="AS296" s="833"/>
      <c r="AT296" s="847"/>
    </row>
    <row r="297" spans="2:46" ht="18" customHeight="1">
      <c r="B297" s="806"/>
      <c r="C297" s="420"/>
      <c r="D297" s="420"/>
      <c r="E297" s="560"/>
      <c r="F297" s="562"/>
      <c r="G297" s="817"/>
      <c r="H297" s="818"/>
      <c r="I297" s="560"/>
      <c r="J297" s="562"/>
      <c r="K297" s="560"/>
      <c r="L297" s="562"/>
      <c r="M297" s="560"/>
      <c r="N297" s="562"/>
      <c r="O297" s="560"/>
      <c r="P297" s="561"/>
      <c r="Q297" s="562"/>
      <c r="R297" s="420" t="str">
        <f t="shared" si="109"/>
        <v/>
      </c>
      <c r="S297" s="420"/>
      <c r="T297" s="420"/>
      <c r="U297" s="814" t="str">
        <f t="shared" si="110"/>
        <v/>
      </c>
      <c r="V297" s="357"/>
      <c r="W297" s="782"/>
      <c r="X297" s="402"/>
      <c r="Y297" s="402"/>
      <c r="Z297" s="560"/>
      <c r="AA297" s="561"/>
      <c r="AB297" s="562"/>
      <c r="AC297" s="420" t="str">
        <f t="shared" si="111"/>
        <v/>
      </c>
      <c r="AD297" s="420"/>
      <c r="AE297" s="420"/>
      <c r="AF297" s="420" t="str">
        <f t="shared" si="112"/>
        <v/>
      </c>
      <c r="AG297" s="420"/>
      <c r="AH297" s="420"/>
      <c r="AI297" s="833"/>
      <c r="AJ297" s="833"/>
      <c r="AK297" s="833"/>
      <c r="AL297" s="833"/>
      <c r="AM297" s="833"/>
      <c r="AN297" s="833"/>
      <c r="AO297" s="833"/>
      <c r="AP297" s="833"/>
      <c r="AQ297" s="833"/>
      <c r="AR297" s="833"/>
      <c r="AS297" s="833"/>
      <c r="AT297" s="847"/>
    </row>
    <row r="298" spans="2:46" ht="18" customHeight="1">
      <c r="B298" s="806"/>
      <c r="C298" s="420"/>
      <c r="D298" s="420"/>
      <c r="E298" s="560"/>
      <c r="F298" s="562"/>
      <c r="G298" s="817"/>
      <c r="H298" s="818"/>
      <c r="I298" s="560"/>
      <c r="J298" s="562"/>
      <c r="K298" s="560"/>
      <c r="L298" s="562"/>
      <c r="M298" s="560"/>
      <c r="N298" s="562"/>
      <c r="O298" s="560"/>
      <c r="P298" s="561"/>
      <c r="Q298" s="562"/>
      <c r="R298" s="420" t="str">
        <f t="shared" si="109"/>
        <v/>
      </c>
      <c r="S298" s="420"/>
      <c r="T298" s="420"/>
      <c r="U298" s="814" t="str">
        <f t="shared" si="110"/>
        <v/>
      </c>
      <c r="V298" s="357"/>
      <c r="W298" s="782"/>
      <c r="X298" s="402"/>
      <c r="Y298" s="402"/>
      <c r="Z298" s="560"/>
      <c r="AA298" s="561"/>
      <c r="AB298" s="562"/>
      <c r="AC298" s="420" t="str">
        <f t="shared" si="111"/>
        <v/>
      </c>
      <c r="AD298" s="420"/>
      <c r="AE298" s="420"/>
      <c r="AF298" s="420" t="str">
        <f t="shared" si="112"/>
        <v/>
      </c>
      <c r="AG298" s="420"/>
      <c r="AH298" s="420"/>
      <c r="AI298" s="833"/>
      <c r="AJ298" s="833"/>
      <c r="AK298" s="833"/>
      <c r="AL298" s="833"/>
      <c r="AM298" s="833"/>
      <c r="AN298" s="833"/>
      <c r="AO298" s="833"/>
      <c r="AP298" s="833"/>
      <c r="AQ298" s="833"/>
      <c r="AR298" s="833"/>
      <c r="AS298" s="833"/>
      <c r="AT298" s="847"/>
    </row>
    <row r="299" spans="2:46" ht="18" customHeight="1">
      <c r="B299" s="806"/>
      <c r="C299" s="420"/>
      <c r="D299" s="420"/>
      <c r="E299" s="560"/>
      <c r="F299" s="562"/>
      <c r="G299" s="817"/>
      <c r="H299" s="818"/>
      <c r="I299" s="560"/>
      <c r="J299" s="562"/>
      <c r="K299" s="560"/>
      <c r="L299" s="562"/>
      <c r="M299" s="560"/>
      <c r="N299" s="562"/>
      <c r="O299" s="560"/>
      <c r="P299" s="561"/>
      <c r="Q299" s="562"/>
      <c r="R299" s="420" t="str">
        <f t="shared" si="109"/>
        <v/>
      </c>
      <c r="S299" s="420"/>
      <c r="T299" s="420"/>
      <c r="U299" s="814" t="str">
        <f t="shared" si="110"/>
        <v/>
      </c>
      <c r="V299" s="357"/>
      <c r="W299" s="782"/>
      <c r="X299" s="402"/>
      <c r="Y299" s="402"/>
      <c r="Z299" s="560"/>
      <c r="AA299" s="561"/>
      <c r="AB299" s="562"/>
      <c r="AC299" s="420" t="str">
        <f t="shared" si="111"/>
        <v/>
      </c>
      <c r="AD299" s="420"/>
      <c r="AE299" s="420"/>
      <c r="AF299" s="420" t="str">
        <f t="shared" si="112"/>
        <v/>
      </c>
      <c r="AG299" s="420"/>
      <c r="AH299" s="420"/>
      <c r="AI299" s="833"/>
      <c r="AJ299" s="833"/>
      <c r="AK299" s="833"/>
      <c r="AL299" s="833"/>
      <c r="AM299" s="833"/>
      <c r="AN299" s="833"/>
      <c r="AO299" s="833"/>
      <c r="AP299" s="833"/>
      <c r="AQ299" s="833"/>
      <c r="AR299" s="833"/>
      <c r="AS299" s="833"/>
      <c r="AT299" s="847"/>
    </row>
    <row r="300" spans="2:46" ht="18" customHeight="1">
      <c r="B300" s="806"/>
      <c r="C300" s="420"/>
      <c r="D300" s="420"/>
      <c r="E300" s="560"/>
      <c r="F300" s="562"/>
      <c r="G300" s="817"/>
      <c r="H300" s="818"/>
      <c r="I300" s="560"/>
      <c r="J300" s="562"/>
      <c r="K300" s="560"/>
      <c r="L300" s="562"/>
      <c r="M300" s="560"/>
      <c r="N300" s="562"/>
      <c r="O300" s="560"/>
      <c r="P300" s="561"/>
      <c r="Q300" s="562"/>
      <c r="R300" s="420" t="str">
        <f t="shared" si="109"/>
        <v/>
      </c>
      <c r="S300" s="420"/>
      <c r="T300" s="420"/>
      <c r="U300" s="814" t="str">
        <f t="shared" si="110"/>
        <v/>
      </c>
      <c r="V300" s="357"/>
      <c r="W300" s="782"/>
      <c r="X300" s="402"/>
      <c r="Y300" s="402"/>
      <c r="Z300" s="560"/>
      <c r="AA300" s="561"/>
      <c r="AB300" s="562"/>
      <c r="AC300" s="420" t="str">
        <f t="shared" si="111"/>
        <v/>
      </c>
      <c r="AD300" s="420"/>
      <c r="AE300" s="420"/>
      <c r="AF300" s="420" t="str">
        <f t="shared" si="112"/>
        <v/>
      </c>
      <c r="AG300" s="420"/>
      <c r="AH300" s="420"/>
      <c r="AI300" s="833"/>
      <c r="AJ300" s="833"/>
      <c r="AK300" s="833"/>
      <c r="AL300" s="833"/>
      <c r="AM300" s="833"/>
      <c r="AN300" s="833"/>
      <c r="AO300" s="833"/>
      <c r="AP300" s="833"/>
      <c r="AQ300" s="833"/>
      <c r="AR300" s="833"/>
      <c r="AS300" s="833"/>
      <c r="AT300" s="847"/>
    </row>
    <row r="301" spans="2:46" ht="18" customHeight="1">
      <c r="B301" s="806"/>
      <c r="C301" s="420"/>
      <c r="D301" s="420"/>
      <c r="E301" s="560"/>
      <c r="F301" s="562"/>
      <c r="G301" s="817"/>
      <c r="H301" s="818"/>
      <c r="I301" s="560"/>
      <c r="J301" s="562"/>
      <c r="K301" s="560"/>
      <c r="L301" s="562"/>
      <c r="M301" s="560"/>
      <c r="N301" s="562"/>
      <c r="O301" s="560"/>
      <c r="P301" s="561"/>
      <c r="Q301" s="562"/>
      <c r="R301" s="420" t="str">
        <f t="shared" si="109"/>
        <v/>
      </c>
      <c r="S301" s="420"/>
      <c r="T301" s="420"/>
      <c r="U301" s="814" t="str">
        <f t="shared" si="110"/>
        <v/>
      </c>
      <c r="V301" s="357"/>
      <c r="W301" s="782"/>
      <c r="X301" s="402"/>
      <c r="Y301" s="402"/>
      <c r="Z301" s="560"/>
      <c r="AA301" s="561"/>
      <c r="AB301" s="562"/>
      <c r="AC301" s="420" t="str">
        <f t="shared" si="111"/>
        <v/>
      </c>
      <c r="AD301" s="420"/>
      <c r="AE301" s="420"/>
      <c r="AF301" s="420" t="str">
        <f t="shared" si="112"/>
        <v/>
      </c>
      <c r="AG301" s="420"/>
      <c r="AH301" s="420"/>
      <c r="AI301" s="833"/>
      <c r="AJ301" s="833"/>
      <c r="AK301" s="833"/>
      <c r="AL301" s="833"/>
      <c r="AM301" s="833"/>
      <c r="AN301" s="833"/>
      <c r="AO301" s="833"/>
      <c r="AP301" s="833"/>
      <c r="AQ301" s="833"/>
      <c r="AR301" s="833"/>
      <c r="AS301" s="833"/>
      <c r="AT301" s="847"/>
    </row>
    <row r="302" spans="2:46" ht="18" customHeight="1">
      <c r="B302" s="806"/>
      <c r="C302" s="420"/>
      <c r="D302" s="420"/>
      <c r="E302" s="560"/>
      <c r="F302" s="562"/>
      <c r="G302" s="817"/>
      <c r="H302" s="818"/>
      <c r="I302" s="560"/>
      <c r="J302" s="562"/>
      <c r="K302" s="560"/>
      <c r="L302" s="562"/>
      <c r="M302" s="560"/>
      <c r="N302" s="562"/>
      <c r="O302" s="560"/>
      <c r="P302" s="561"/>
      <c r="Q302" s="562"/>
      <c r="R302" s="420" t="str">
        <f t="shared" si="109"/>
        <v/>
      </c>
      <c r="S302" s="420"/>
      <c r="T302" s="420"/>
      <c r="U302" s="814" t="str">
        <f t="shared" si="110"/>
        <v/>
      </c>
      <c r="V302" s="357"/>
      <c r="W302" s="782"/>
      <c r="X302" s="402"/>
      <c r="Y302" s="402"/>
      <c r="Z302" s="560"/>
      <c r="AA302" s="561"/>
      <c r="AB302" s="562"/>
      <c r="AC302" s="420" t="str">
        <f t="shared" si="111"/>
        <v/>
      </c>
      <c r="AD302" s="420"/>
      <c r="AE302" s="420"/>
      <c r="AF302" s="420" t="str">
        <f t="shared" si="112"/>
        <v/>
      </c>
      <c r="AG302" s="420"/>
      <c r="AH302" s="420"/>
      <c r="AI302" s="833"/>
      <c r="AJ302" s="833"/>
      <c r="AK302" s="833"/>
      <c r="AL302" s="833"/>
      <c r="AM302" s="833"/>
      <c r="AN302" s="833"/>
      <c r="AO302" s="833"/>
      <c r="AP302" s="833"/>
      <c r="AQ302" s="833"/>
      <c r="AR302" s="833"/>
      <c r="AS302" s="833"/>
      <c r="AT302" s="847"/>
    </row>
    <row r="303" spans="2:46" ht="18" customHeight="1">
      <c r="B303" s="806"/>
      <c r="C303" s="420"/>
      <c r="D303" s="420"/>
      <c r="E303" s="560"/>
      <c r="F303" s="562"/>
      <c r="G303" s="817"/>
      <c r="H303" s="818"/>
      <c r="I303" s="560"/>
      <c r="J303" s="562"/>
      <c r="K303" s="560"/>
      <c r="L303" s="562"/>
      <c r="M303" s="560"/>
      <c r="N303" s="562"/>
      <c r="O303" s="560"/>
      <c r="P303" s="561"/>
      <c r="Q303" s="562"/>
      <c r="R303" s="420" t="str">
        <f t="shared" si="109"/>
        <v/>
      </c>
      <c r="S303" s="420"/>
      <c r="T303" s="420"/>
      <c r="U303" s="814" t="str">
        <f t="shared" si="110"/>
        <v/>
      </c>
      <c r="V303" s="357"/>
      <c r="W303" s="782"/>
      <c r="X303" s="402"/>
      <c r="Y303" s="402"/>
      <c r="Z303" s="560"/>
      <c r="AA303" s="561"/>
      <c r="AB303" s="562"/>
      <c r="AC303" s="420" t="str">
        <f t="shared" si="111"/>
        <v/>
      </c>
      <c r="AD303" s="420"/>
      <c r="AE303" s="420"/>
      <c r="AF303" s="420" t="str">
        <f t="shared" si="112"/>
        <v/>
      </c>
      <c r="AG303" s="420"/>
      <c r="AH303" s="420"/>
      <c r="AI303" s="833"/>
      <c r="AJ303" s="833"/>
      <c r="AK303" s="833"/>
      <c r="AL303" s="833"/>
      <c r="AM303" s="833"/>
      <c r="AN303" s="833"/>
      <c r="AO303" s="833"/>
      <c r="AP303" s="833"/>
      <c r="AQ303" s="833"/>
      <c r="AR303" s="833"/>
      <c r="AS303" s="833"/>
      <c r="AT303" s="847"/>
    </row>
    <row r="304" spans="2:46" ht="18" customHeight="1">
      <c r="B304" s="806"/>
      <c r="C304" s="420"/>
      <c r="D304" s="420"/>
      <c r="E304" s="560"/>
      <c r="F304" s="562"/>
      <c r="G304" s="817"/>
      <c r="H304" s="818"/>
      <c r="I304" s="560"/>
      <c r="J304" s="562"/>
      <c r="K304" s="560"/>
      <c r="L304" s="562"/>
      <c r="M304" s="560"/>
      <c r="N304" s="562"/>
      <c r="O304" s="560"/>
      <c r="P304" s="561"/>
      <c r="Q304" s="562"/>
      <c r="R304" s="420" t="str">
        <f t="shared" si="109"/>
        <v/>
      </c>
      <c r="S304" s="420"/>
      <c r="T304" s="420"/>
      <c r="U304" s="814" t="str">
        <f t="shared" si="110"/>
        <v/>
      </c>
      <c r="V304" s="357"/>
      <c r="W304" s="782"/>
      <c r="X304" s="402"/>
      <c r="Y304" s="402"/>
      <c r="Z304" s="560"/>
      <c r="AA304" s="561"/>
      <c r="AB304" s="562"/>
      <c r="AC304" s="420" t="str">
        <f t="shared" si="111"/>
        <v/>
      </c>
      <c r="AD304" s="420"/>
      <c r="AE304" s="420"/>
      <c r="AF304" s="420" t="str">
        <f t="shared" si="112"/>
        <v/>
      </c>
      <c r="AG304" s="420"/>
      <c r="AH304" s="420"/>
      <c r="AI304" s="833"/>
      <c r="AJ304" s="833"/>
      <c r="AK304" s="833"/>
      <c r="AL304" s="833"/>
      <c r="AM304" s="833"/>
      <c r="AN304" s="833"/>
      <c r="AO304" s="833"/>
      <c r="AP304" s="833"/>
      <c r="AQ304" s="833"/>
      <c r="AR304" s="833"/>
      <c r="AS304" s="833"/>
      <c r="AT304" s="847"/>
    </row>
    <row r="305" spans="2:46" ht="18" customHeight="1">
      <c r="B305" s="806"/>
      <c r="C305" s="420"/>
      <c r="D305" s="420"/>
      <c r="E305" s="560"/>
      <c r="F305" s="562"/>
      <c r="G305" s="817"/>
      <c r="H305" s="818"/>
      <c r="I305" s="560"/>
      <c r="J305" s="562"/>
      <c r="K305" s="560"/>
      <c r="L305" s="562"/>
      <c r="M305" s="560"/>
      <c r="N305" s="562"/>
      <c r="O305" s="560"/>
      <c r="P305" s="561"/>
      <c r="Q305" s="562"/>
      <c r="R305" s="420" t="str">
        <f t="shared" si="109"/>
        <v/>
      </c>
      <c r="S305" s="420"/>
      <c r="T305" s="420"/>
      <c r="U305" s="814" t="str">
        <f t="shared" si="110"/>
        <v/>
      </c>
      <c r="V305" s="357"/>
      <c r="W305" s="782"/>
      <c r="X305" s="402"/>
      <c r="Y305" s="402"/>
      <c r="Z305" s="560"/>
      <c r="AA305" s="561"/>
      <c r="AB305" s="562"/>
      <c r="AC305" s="420" t="str">
        <f t="shared" si="111"/>
        <v/>
      </c>
      <c r="AD305" s="420"/>
      <c r="AE305" s="420"/>
      <c r="AF305" s="420" t="str">
        <f t="shared" si="112"/>
        <v/>
      </c>
      <c r="AG305" s="420"/>
      <c r="AH305" s="420"/>
      <c r="AI305" s="833"/>
      <c r="AJ305" s="833"/>
      <c r="AK305" s="833"/>
      <c r="AL305" s="833"/>
      <c r="AM305" s="833"/>
      <c r="AN305" s="833"/>
      <c r="AO305" s="833"/>
      <c r="AP305" s="833"/>
      <c r="AQ305" s="833"/>
      <c r="AR305" s="833"/>
      <c r="AS305" s="833"/>
      <c r="AT305" s="847"/>
    </row>
    <row r="306" spans="2:46" ht="18" customHeight="1">
      <c r="B306" s="806"/>
      <c r="C306" s="420"/>
      <c r="D306" s="420"/>
      <c r="E306" s="560"/>
      <c r="F306" s="562"/>
      <c r="G306" s="817"/>
      <c r="H306" s="818"/>
      <c r="I306" s="560"/>
      <c r="J306" s="562"/>
      <c r="K306" s="560"/>
      <c r="L306" s="562"/>
      <c r="M306" s="560"/>
      <c r="N306" s="562"/>
      <c r="O306" s="560"/>
      <c r="P306" s="561"/>
      <c r="Q306" s="562"/>
      <c r="R306" s="420" t="str">
        <f t="shared" si="109"/>
        <v/>
      </c>
      <c r="S306" s="420"/>
      <c r="T306" s="420"/>
      <c r="U306" s="814" t="str">
        <f t="shared" si="110"/>
        <v/>
      </c>
      <c r="V306" s="357"/>
      <c r="W306" s="782"/>
      <c r="X306" s="402"/>
      <c r="Y306" s="402"/>
      <c r="Z306" s="560"/>
      <c r="AA306" s="561"/>
      <c r="AB306" s="562"/>
      <c r="AC306" s="420" t="str">
        <f t="shared" si="111"/>
        <v/>
      </c>
      <c r="AD306" s="420"/>
      <c r="AE306" s="420"/>
      <c r="AF306" s="420" t="str">
        <f t="shared" si="112"/>
        <v/>
      </c>
      <c r="AG306" s="420"/>
      <c r="AH306" s="420"/>
      <c r="AI306" s="833"/>
      <c r="AJ306" s="833"/>
      <c r="AK306" s="833"/>
      <c r="AL306" s="833"/>
      <c r="AM306" s="833"/>
      <c r="AN306" s="833"/>
      <c r="AO306" s="833"/>
      <c r="AP306" s="833"/>
      <c r="AQ306" s="833"/>
      <c r="AR306" s="833"/>
      <c r="AS306" s="833"/>
      <c r="AT306" s="847"/>
    </row>
    <row r="307" spans="2:46" ht="18" customHeight="1">
      <c r="B307" s="806"/>
      <c r="C307" s="420"/>
      <c r="D307" s="420"/>
      <c r="E307" s="560"/>
      <c r="F307" s="562"/>
      <c r="G307" s="817"/>
      <c r="H307" s="818"/>
      <c r="I307" s="560"/>
      <c r="J307" s="562"/>
      <c r="K307" s="560"/>
      <c r="L307" s="562"/>
      <c r="M307" s="560"/>
      <c r="N307" s="562"/>
      <c r="O307" s="560"/>
      <c r="P307" s="561"/>
      <c r="Q307" s="562"/>
      <c r="R307" s="420" t="str">
        <f t="shared" si="109"/>
        <v/>
      </c>
      <c r="S307" s="420"/>
      <c r="T307" s="420"/>
      <c r="U307" s="814" t="str">
        <f t="shared" si="110"/>
        <v/>
      </c>
      <c r="V307" s="357"/>
      <c r="W307" s="782"/>
      <c r="X307" s="402"/>
      <c r="Y307" s="402"/>
      <c r="Z307" s="560"/>
      <c r="AA307" s="561"/>
      <c r="AB307" s="562"/>
      <c r="AC307" s="420" t="str">
        <f t="shared" si="111"/>
        <v/>
      </c>
      <c r="AD307" s="420"/>
      <c r="AE307" s="420"/>
      <c r="AF307" s="420" t="str">
        <f t="shared" si="112"/>
        <v/>
      </c>
      <c r="AG307" s="420"/>
      <c r="AH307" s="420"/>
      <c r="AI307" s="833"/>
      <c r="AJ307" s="833"/>
      <c r="AK307" s="833"/>
      <c r="AL307" s="833"/>
      <c r="AM307" s="833"/>
      <c r="AN307" s="833"/>
      <c r="AO307" s="833"/>
      <c r="AP307" s="833"/>
      <c r="AQ307" s="833"/>
      <c r="AR307" s="833"/>
      <c r="AS307" s="833"/>
      <c r="AT307" s="847"/>
    </row>
    <row r="308" spans="2:46" ht="18" customHeight="1">
      <c r="B308" s="806"/>
      <c r="C308" s="420"/>
      <c r="D308" s="420"/>
      <c r="E308" s="560"/>
      <c r="F308" s="562"/>
      <c r="G308" s="817"/>
      <c r="H308" s="818"/>
      <c r="I308" s="560"/>
      <c r="J308" s="562"/>
      <c r="K308" s="560"/>
      <c r="L308" s="562"/>
      <c r="M308" s="560"/>
      <c r="N308" s="562"/>
      <c r="O308" s="560"/>
      <c r="P308" s="561"/>
      <c r="Q308" s="562"/>
      <c r="R308" s="420" t="str">
        <f t="shared" si="109"/>
        <v/>
      </c>
      <c r="S308" s="420"/>
      <c r="T308" s="420"/>
      <c r="U308" s="814" t="str">
        <f t="shared" si="110"/>
        <v/>
      </c>
      <c r="V308" s="357"/>
      <c r="W308" s="782"/>
      <c r="X308" s="402"/>
      <c r="Y308" s="402"/>
      <c r="Z308" s="560"/>
      <c r="AA308" s="561"/>
      <c r="AB308" s="562"/>
      <c r="AC308" s="420" t="str">
        <f t="shared" si="111"/>
        <v/>
      </c>
      <c r="AD308" s="420"/>
      <c r="AE308" s="420"/>
      <c r="AF308" s="420" t="str">
        <f t="shared" si="112"/>
        <v/>
      </c>
      <c r="AG308" s="420"/>
      <c r="AH308" s="420"/>
      <c r="AI308" s="833"/>
      <c r="AJ308" s="833"/>
      <c r="AK308" s="833"/>
      <c r="AL308" s="833"/>
      <c r="AM308" s="833"/>
      <c r="AN308" s="833"/>
      <c r="AO308" s="833"/>
      <c r="AP308" s="833"/>
      <c r="AQ308" s="833"/>
      <c r="AR308" s="833"/>
      <c r="AS308" s="833"/>
      <c r="AT308" s="847"/>
    </row>
    <row r="309" spans="2:46" ht="18" customHeight="1">
      <c r="B309" s="806"/>
      <c r="C309" s="420"/>
      <c r="D309" s="420"/>
      <c r="E309" s="560"/>
      <c r="F309" s="562"/>
      <c r="G309" s="817"/>
      <c r="H309" s="818"/>
      <c r="I309" s="560"/>
      <c r="J309" s="562"/>
      <c r="K309" s="560"/>
      <c r="L309" s="562"/>
      <c r="M309" s="560"/>
      <c r="N309" s="562"/>
      <c r="O309" s="560"/>
      <c r="P309" s="561"/>
      <c r="Q309" s="562"/>
      <c r="R309" s="420" t="str">
        <f t="shared" si="109"/>
        <v/>
      </c>
      <c r="S309" s="420"/>
      <c r="T309" s="420"/>
      <c r="U309" s="814" t="str">
        <f t="shared" si="110"/>
        <v/>
      </c>
      <c r="V309" s="357"/>
      <c r="W309" s="782"/>
      <c r="X309" s="402"/>
      <c r="Y309" s="402"/>
      <c r="Z309" s="560"/>
      <c r="AA309" s="561"/>
      <c r="AB309" s="562"/>
      <c r="AC309" s="420" t="str">
        <f t="shared" si="111"/>
        <v/>
      </c>
      <c r="AD309" s="420"/>
      <c r="AE309" s="420"/>
      <c r="AF309" s="420" t="str">
        <f t="shared" si="112"/>
        <v/>
      </c>
      <c r="AG309" s="420"/>
      <c r="AH309" s="420"/>
      <c r="AI309" s="833"/>
      <c r="AJ309" s="833"/>
      <c r="AK309" s="833"/>
      <c r="AL309" s="833"/>
      <c r="AM309" s="833"/>
      <c r="AN309" s="833"/>
      <c r="AO309" s="833"/>
      <c r="AP309" s="833"/>
      <c r="AQ309" s="833"/>
      <c r="AR309" s="833"/>
      <c r="AS309" s="833"/>
      <c r="AT309" s="847"/>
    </row>
    <row r="310" spans="2:46" ht="18" customHeight="1">
      <c r="B310" s="806"/>
      <c r="C310" s="420"/>
      <c r="D310" s="420"/>
      <c r="E310" s="560"/>
      <c r="F310" s="562"/>
      <c r="G310" s="817"/>
      <c r="H310" s="818"/>
      <c r="I310" s="560"/>
      <c r="J310" s="562"/>
      <c r="K310" s="560"/>
      <c r="L310" s="562"/>
      <c r="M310" s="560"/>
      <c r="N310" s="562"/>
      <c r="O310" s="560"/>
      <c r="P310" s="561"/>
      <c r="Q310" s="562"/>
      <c r="R310" s="420" t="str">
        <f t="shared" si="109"/>
        <v/>
      </c>
      <c r="S310" s="420"/>
      <c r="T310" s="420"/>
      <c r="U310" s="814" t="str">
        <f t="shared" si="110"/>
        <v/>
      </c>
      <c r="V310" s="357"/>
      <c r="W310" s="782"/>
      <c r="X310" s="402"/>
      <c r="Y310" s="402"/>
      <c r="Z310" s="560"/>
      <c r="AA310" s="561"/>
      <c r="AB310" s="562"/>
      <c r="AC310" s="420" t="str">
        <f t="shared" si="111"/>
        <v/>
      </c>
      <c r="AD310" s="420"/>
      <c r="AE310" s="420"/>
      <c r="AF310" s="420" t="str">
        <f t="shared" si="112"/>
        <v/>
      </c>
      <c r="AG310" s="420"/>
      <c r="AH310" s="420"/>
      <c r="AI310" s="833"/>
      <c r="AJ310" s="833"/>
      <c r="AK310" s="833"/>
      <c r="AL310" s="833"/>
      <c r="AM310" s="833"/>
      <c r="AN310" s="833"/>
      <c r="AO310" s="833"/>
      <c r="AP310" s="833"/>
      <c r="AQ310" s="833"/>
      <c r="AR310" s="833"/>
      <c r="AS310" s="833"/>
      <c r="AT310" s="847"/>
    </row>
    <row r="311" spans="2:46" ht="18" customHeight="1">
      <c r="B311" s="806"/>
      <c r="C311" s="420"/>
      <c r="D311" s="420"/>
      <c r="E311" s="560"/>
      <c r="F311" s="562"/>
      <c r="G311" s="817"/>
      <c r="H311" s="818"/>
      <c r="I311" s="560"/>
      <c r="J311" s="562"/>
      <c r="K311" s="560"/>
      <c r="L311" s="562"/>
      <c r="M311" s="560"/>
      <c r="N311" s="562"/>
      <c r="O311" s="560"/>
      <c r="P311" s="561"/>
      <c r="Q311" s="562"/>
      <c r="R311" s="420" t="str">
        <f t="shared" si="109"/>
        <v/>
      </c>
      <c r="S311" s="420"/>
      <c r="T311" s="420"/>
      <c r="U311" s="814" t="str">
        <f t="shared" si="110"/>
        <v/>
      </c>
      <c r="V311" s="357"/>
      <c r="W311" s="782"/>
      <c r="X311" s="402"/>
      <c r="Y311" s="402"/>
      <c r="Z311" s="560"/>
      <c r="AA311" s="561"/>
      <c r="AB311" s="562"/>
      <c r="AC311" s="420" t="str">
        <f t="shared" si="111"/>
        <v/>
      </c>
      <c r="AD311" s="420"/>
      <c r="AE311" s="420"/>
      <c r="AF311" s="420" t="str">
        <f t="shared" si="112"/>
        <v/>
      </c>
      <c r="AG311" s="420"/>
      <c r="AH311" s="420"/>
      <c r="AI311" s="833"/>
      <c r="AJ311" s="833"/>
      <c r="AK311" s="833"/>
      <c r="AL311" s="833"/>
      <c r="AM311" s="833"/>
      <c r="AN311" s="833"/>
      <c r="AO311" s="833"/>
      <c r="AP311" s="833"/>
      <c r="AQ311" s="833"/>
      <c r="AR311" s="833"/>
      <c r="AS311" s="833"/>
      <c r="AT311" s="847"/>
    </row>
    <row r="312" spans="2:46" ht="18" customHeight="1">
      <c r="B312" s="806"/>
      <c r="C312" s="420"/>
      <c r="D312" s="420"/>
      <c r="E312" s="560"/>
      <c r="F312" s="562"/>
      <c r="G312" s="817"/>
      <c r="H312" s="818"/>
      <c r="I312" s="560"/>
      <c r="J312" s="562"/>
      <c r="K312" s="560"/>
      <c r="L312" s="562"/>
      <c r="M312" s="560"/>
      <c r="N312" s="562"/>
      <c r="O312" s="560"/>
      <c r="P312" s="561"/>
      <c r="Q312" s="562"/>
      <c r="R312" s="420" t="str">
        <f t="shared" si="109"/>
        <v/>
      </c>
      <c r="S312" s="420"/>
      <c r="T312" s="420"/>
      <c r="U312" s="814" t="str">
        <f t="shared" si="110"/>
        <v/>
      </c>
      <c r="V312" s="357"/>
      <c r="W312" s="782"/>
      <c r="X312" s="402"/>
      <c r="Y312" s="402"/>
      <c r="Z312" s="560"/>
      <c r="AA312" s="561"/>
      <c r="AB312" s="562"/>
      <c r="AC312" s="420" t="str">
        <f t="shared" si="111"/>
        <v/>
      </c>
      <c r="AD312" s="420"/>
      <c r="AE312" s="420"/>
      <c r="AF312" s="420" t="str">
        <f t="shared" si="112"/>
        <v/>
      </c>
      <c r="AG312" s="420"/>
      <c r="AH312" s="420"/>
      <c r="AI312" s="833"/>
      <c r="AJ312" s="833"/>
      <c r="AK312" s="833"/>
      <c r="AL312" s="833"/>
      <c r="AM312" s="833"/>
      <c r="AN312" s="833"/>
      <c r="AO312" s="833"/>
      <c r="AP312" s="833"/>
      <c r="AQ312" s="833"/>
      <c r="AR312" s="833"/>
      <c r="AS312" s="833"/>
      <c r="AT312" s="847"/>
    </row>
    <row r="313" spans="2:46" ht="18" customHeight="1">
      <c r="B313" s="806"/>
      <c r="C313" s="420"/>
      <c r="D313" s="420"/>
      <c r="E313" s="560"/>
      <c r="F313" s="562"/>
      <c r="G313" s="817"/>
      <c r="H313" s="818"/>
      <c r="I313" s="560"/>
      <c r="J313" s="562"/>
      <c r="K313" s="560"/>
      <c r="L313" s="562"/>
      <c r="M313" s="560"/>
      <c r="N313" s="562"/>
      <c r="O313" s="560"/>
      <c r="P313" s="561"/>
      <c r="Q313" s="562"/>
      <c r="R313" s="420" t="str">
        <f t="shared" si="109"/>
        <v/>
      </c>
      <c r="S313" s="420"/>
      <c r="T313" s="420"/>
      <c r="U313" s="814" t="str">
        <f t="shared" si="110"/>
        <v/>
      </c>
      <c r="V313" s="357"/>
      <c r="W313" s="782"/>
      <c r="X313" s="402"/>
      <c r="Y313" s="402"/>
      <c r="Z313" s="560"/>
      <c r="AA313" s="561"/>
      <c r="AB313" s="562"/>
      <c r="AC313" s="420" t="str">
        <f t="shared" si="111"/>
        <v/>
      </c>
      <c r="AD313" s="420"/>
      <c r="AE313" s="420"/>
      <c r="AF313" s="420" t="str">
        <f t="shared" si="112"/>
        <v/>
      </c>
      <c r="AG313" s="420"/>
      <c r="AH313" s="420"/>
      <c r="AI313" s="833"/>
      <c r="AJ313" s="833"/>
      <c r="AK313" s="833"/>
      <c r="AL313" s="833"/>
      <c r="AM313" s="833"/>
      <c r="AN313" s="833"/>
      <c r="AO313" s="833"/>
      <c r="AP313" s="833"/>
      <c r="AQ313" s="833"/>
      <c r="AR313" s="833"/>
      <c r="AS313" s="833"/>
      <c r="AT313" s="847"/>
    </row>
    <row r="314" spans="2:46" ht="18" customHeight="1">
      <c r="B314" s="806"/>
      <c r="C314" s="420"/>
      <c r="D314" s="420"/>
      <c r="E314" s="560"/>
      <c r="F314" s="562"/>
      <c r="G314" s="817"/>
      <c r="H314" s="818"/>
      <c r="I314" s="560"/>
      <c r="J314" s="562"/>
      <c r="K314" s="560"/>
      <c r="L314" s="562"/>
      <c r="M314" s="560"/>
      <c r="N314" s="562"/>
      <c r="O314" s="560"/>
      <c r="P314" s="561"/>
      <c r="Q314" s="562"/>
      <c r="R314" s="420" t="str">
        <f t="shared" si="109"/>
        <v/>
      </c>
      <c r="S314" s="420"/>
      <c r="T314" s="420"/>
      <c r="U314" s="814" t="str">
        <f t="shared" si="110"/>
        <v/>
      </c>
      <c r="V314" s="357"/>
      <c r="W314" s="782"/>
      <c r="X314" s="402"/>
      <c r="Y314" s="402"/>
      <c r="Z314" s="560"/>
      <c r="AA314" s="561"/>
      <c r="AB314" s="562"/>
      <c r="AC314" s="420" t="str">
        <f t="shared" si="111"/>
        <v/>
      </c>
      <c r="AD314" s="420"/>
      <c r="AE314" s="420"/>
      <c r="AF314" s="420" t="str">
        <f t="shared" si="112"/>
        <v/>
      </c>
      <c r="AG314" s="420"/>
      <c r="AH314" s="420"/>
      <c r="AI314" s="833"/>
      <c r="AJ314" s="833"/>
      <c r="AK314" s="833"/>
      <c r="AL314" s="833"/>
      <c r="AM314" s="833"/>
      <c r="AN314" s="833"/>
      <c r="AO314" s="833"/>
      <c r="AP314" s="833"/>
      <c r="AQ314" s="833"/>
      <c r="AR314" s="833"/>
      <c r="AS314" s="833"/>
      <c r="AT314" s="847"/>
    </row>
    <row r="315" spans="2:46" ht="18" customHeight="1">
      <c r="B315" s="806"/>
      <c r="C315" s="420"/>
      <c r="D315" s="420"/>
      <c r="E315" s="560"/>
      <c r="F315" s="562"/>
      <c r="G315" s="817"/>
      <c r="H315" s="818"/>
      <c r="I315" s="560"/>
      <c r="J315" s="562"/>
      <c r="K315" s="560"/>
      <c r="L315" s="562"/>
      <c r="M315" s="560"/>
      <c r="N315" s="562"/>
      <c r="O315" s="560"/>
      <c r="P315" s="561"/>
      <c r="Q315" s="562"/>
      <c r="R315" s="420" t="str">
        <f t="shared" si="109"/>
        <v/>
      </c>
      <c r="S315" s="420"/>
      <c r="T315" s="420"/>
      <c r="U315" s="814" t="str">
        <f t="shared" si="110"/>
        <v/>
      </c>
      <c r="V315" s="357"/>
      <c r="W315" s="782"/>
      <c r="X315" s="402"/>
      <c r="Y315" s="402"/>
      <c r="Z315" s="560"/>
      <c r="AA315" s="561"/>
      <c r="AB315" s="562"/>
      <c r="AC315" s="420" t="str">
        <f t="shared" si="111"/>
        <v/>
      </c>
      <c r="AD315" s="420"/>
      <c r="AE315" s="420"/>
      <c r="AF315" s="420" t="str">
        <f t="shared" si="112"/>
        <v/>
      </c>
      <c r="AG315" s="420"/>
      <c r="AH315" s="420"/>
      <c r="AI315" s="833"/>
      <c r="AJ315" s="833"/>
      <c r="AK315" s="833"/>
      <c r="AL315" s="833"/>
      <c r="AM315" s="833"/>
      <c r="AN315" s="833"/>
      <c r="AO315" s="833"/>
      <c r="AP315" s="833"/>
      <c r="AQ315" s="833"/>
      <c r="AR315" s="833"/>
      <c r="AS315" s="833"/>
      <c r="AT315" s="847"/>
    </row>
    <row r="316" spans="2:46" ht="18" customHeight="1">
      <c r="B316" s="806"/>
      <c r="C316" s="420"/>
      <c r="D316" s="420"/>
      <c r="E316" s="560"/>
      <c r="F316" s="562"/>
      <c r="G316" s="817"/>
      <c r="H316" s="818"/>
      <c r="I316" s="560"/>
      <c r="J316" s="562"/>
      <c r="K316" s="560"/>
      <c r="L316" s="562"/>
      <c r="M316" s="560"/>
      <c r="N316" s="562"/>
      <c r="O316" s="560"/>
      <c r="P316" s="561"/>
      <c r="Q316" s="562"/>
      <c r="R316" s="420" t="str">
        <f t="shared" si="109"/>
        <v/>
      </c>
      <c r="S316" s="420"/>
      <c r="T316" s="420"/>
      <c r="U316" s="814" t="str">
        <f t="shared" si="110"/>
        <v/>
      </c>
      <c r="V316" s="357"/>
      <c r="W316" s="782"/>
      <c r="X316" s="402"/>
      <c r="Y316" s="402"/>
      <c r="Z316" s="560"/>
      <c r="AA316" s="561"/>
      <c r="AB316" s="562"/>
      <c r="AC316" s="420" t="str">
        <f t="shared" si="111"/>
        <v/>
      </c>
      <c r="AD316" s="420"/>
      <c r="AE316" s="420"/>
      <c r="AF316" s="420" t="str">
        <f t="shared" si="112"/>
        <v/>
      </c>
      <c r="AG316" s="420"/>
      <c r="AH316" s="420"/>
      <c r="AI316" s="833"/>
      <c r="AJ316" s="833"/>
      <c r="AK316" s="833"/>
      <c r="AL316" s="833"/>
      <c r="AM316" s="833"/>
      <c r="AN316" s="833"/>
      <c r="AO316" s="833"/>
      <c r="AP316" s="833"/>
      <c r="AQ316" s="833"/>
      <c r="AR316" s="833"/>
      <c r="AS316" s="833"/>
      <c r="AT316" s="847"/>
    </row>
    <row r="317" spans="2:46" ht="18" customHeight="1">
      <c r="B317" s="806"/>
      <c r="C317" s="420"/>
      <c r="D317" s="420"/>
      <c r="E317" s="560"/>
      <c r="F317" s="562"/>
      <c r="G317" s="817"/>
      <c r="H317" s="818"/>
      <c r="I317" s="560"/>
      <c r="J317" s="562"/>
      <c r="K317" s="560"/>
      <c r="L317" s="562"/>
      <c r="M317" s="560"/>
      <c r="N317" s="562"/>
      <c r="O317" s="560"/>
      <c r="P317" s="561"/>
      <c r="Q317" s="562"/>
      <c r="R317" s="420" t="str">
        <f t="shared" ref="R317:R351" si="116">IF($E317="","",IF($O317="","",ROUND(($O317-$E317)/$E317*100,1)))</f>
        <v/>
      </c>
      <c r="S317" s="420"/>
      <c r="T317" s="420"/>
      <c r="U317" s="814" t="str">
        <f t="shared" ref="U317:U359" si="117">IF(G317="","",IF(R317="","",ROUND(100*(R317+G317)/(100+R317),1)))</f>
        <v/>
      </c>
      <c r="V317" s="357"/>
      <c r="W317" s="782"/>
      <c r="X317" s="402"/>
      <c r="Y317" s="402"/>
      <c r="Z317" s="560"/>
      <c r="AA317" s="561"/>
      <c r="AB317" s="562"/>
      <c r="AC317" s="420" t="str">
        <f t="shared" ref="AC317:AC351" si="118">IF($E317="","",IF($Z317="","",ROUND(($Z317-$E317)/$E317*100,1)))</f>
        <v/>
      </c>
      <c r="AD317" s="420"/>
      <c r="AE317" s="420"/>
      <c r="AF317" s="420" t="str">
        <f t="shared" si="112"/>
        <v/>
      </c>
      <c r="AG317" s="420"/>
      <c r="AH317" s="420"/>
      <c r="AI317" s="833"/>
      <c r="AJ317" s="833"/>
      <c r="AK317" s="833"/>
      <c r="AL317" s="833"/>
      <c r="AM317" s="833"/>
      <c r="AN317" s="833"/>
      <c r="AO317" s="833"/>
      <c r="AP317" s="833"/>
      <c r="AQ317" s="833"/>
      <c r="AR317" s="833"/>
      <c r="AS317" s="833"/>
      <c r="AT317" s="847"/>
    </row>
    <row r="318" spans="2:46" ht="18" customHeight="1">
      <c r="B318" s="806"/>
      <c r="C318" s="420"/>
      <c r="D318" s="420"/>
      <c r="E318" s="560"/>
      <c r="F318" s="562"/>
      <c r="G318" s="817"/>
      <c r="H318" s="818"/>
      <c r="I318" s="560"/>
      <c r="J318" s="562"/>
      <c r="K318" s="560"/>
      <c r="L318" s="562"/>
      <c r="M318" s="560"/>
      <c r="N318" s="562"/>
      <c r="O318" s="560"/>
      <c r="P318" s="561"/>
      <c r="Q318" s="562"/>
      <c r="R318" s="420" t="str">
        <f t="shared" si="116"/>
        <v/>
      </c>
      <c r="S318" s="420"/>
      <c r="T318" s="420"/>
      <c r="U318" s="814" t="str">
        <f t="shared" si="117"/>
        <v/>
      </c>
      <c r="V318" s="357"/>
      <c r="W318" s="782"/>
      <c r="X318" s="402"/>
      <c r="Y318" s="402"/>
      <c r="Z318" s="560"/>
      <c r="AA318" s="561"/>
      <c r="AB318" s="562"/>
      <c r="AC318" s="420" t="str">
        <f t="shared" si="118"/>
        <v/>
      </c>
      <c r="AD318" s="420"/>
      <c r="AE318" s="420"/>
      <c r="AF318" s="420" t="str">
        <f t="shared" si="112"/>
        <v/>
      </c>
      <c r="AG318" s="420"/>
      <c r="AH318" s="420"/>
      <c r="AI318" s="833"/>
      <c r="AJ318" s="833"/>
      <c r="AK318" s="833"/>
      <c r="AL318" s="833"/>
      <c r="AM318" s="833"/>
      <c r="AN318" s="833"/>
      <c r="AO318" s="833"/>
      <c r="AP318" s="833"/>
      <c r="AQ318" s="833"/>
      <c r="AR318" s="833"/>
      <c r="AS318" s="833"/>
      <c r="AT318" s="847"/>
    </row>
    <row r="319" spans="2:46" ht="18" customHeight="1">
      <c r="B319" s="806"/>
      <c r="C319" s="420"/>
      <c r="D319" s="420"/>
      <c r="E319" s="560"/>
      <c r="F319" s="562"/>
      <c r="G319" s="817"/>
      <c r="H319" s="818"/>
      <c r="I319" s="560"/>
      <c r="J319" s="562"/>
      <c r="K319" s="560"/>
      <c r="L319" s="562"/>
      <c r="M319" s="560"/>
      <c r="N319" s="562"/>
      <c r="O319" s="560"/>
      <c r="P319" s="561"/>
      <c r="Q319" s="562"/>
      <c r="R319" s="420" t="str">
        <f t="shared" si="116"/>
        <v/>
      </c>
      <c r="S319" s="420"/>
      <c r="T319" s="420"/>
      <c r="U319" s="814" t="str">
        <f t="shared" si="117"/>
        <v/>
      </c>
      <c r="V319" s="357"/>
      <c r="W319" s="782"/>
      <c r="X319" s="402"/>
      <c r="Y319" s="402"/>
      <c r="Z319" s="560"/>
      <c r="AA319" s="561"/>
      <c r="AB319" s="562"/>
      <c r="AC319" s="420" t="str">
        <f t="shared" si="118"/>
        <v/>
      </c>
      <c r="AD319" s="420"/>
      <c r="AE319" s="420"/>
      <c r="AF319" s="420" t="str">
        <f t="shared" si="112"/>
        <v/>
      </c>
      <c r="AG319" s="420"/>
      <c r="AH319" s="420"/>
      <c r="AI319" s="833"/>
      <c r="AJ319" s="833"/>
      <c r="AK319" s="833"/>
      <c r="AL319" s="833"/>
      <c r="AM319" s="833"/>
      <c r="AN319" s="833"/>
      <c r="AO319" s="833"/>
      <c r="AP319" s="833"/>
      <c r="AQ319" s="833"/>
      <c r="AR319" s="833"/>
      <c r="AS319" s="833"/>
      <c r="AT319" s="847"/>
    </row>
    <row r="320" spans="2:46" ht="18" customHeight="1">
      <c r="B320" s="806"/>
      <c r="C320" s="420"/>
      <c r="D320" s="420"/>
      <c r="E320" s="560"/>
      <c r="F320" s="562"/>
      <c r="G320" s="817"/>
      <c r="H320" s="818"/>
      <c r="I320" s="560"/>
      <c r="J320" s="562"/>
      <c r="K320" s="560"/>
      <c r="L320" s="562"/>
      <c r="M320" s="560"/>
      <c r="N320" s="562"/>
      <c r="O320" s="560"/>
      <c r="P320" s="561"/>
      <c r="Q320" s="562"/>
      <c r="R320" s="420" t="str">
        <f t="shared" si="116"/>
        <v/>
      </c>
      <c r="S320" s="420"/>
      <c r="T320" s="420"/>
      <c r="U320" s="814" t="str">
        <f t="shared" si="117"/>
        <v/>
      </c>
      <c r="V320" s="357"/>
      <c r="W320" s="782"/>
      <c r="X320" s="402"/>
      <c r="Y320" s="402"/>
      <c r="Z320" s="560"/>
      <c r="AA320" s="561"/>
      <c r="AB320" s="562"/>
      <c r="AC320" s="420" t="str">
        <f t="shared" si="118"/>
        <v/>
      </c>
      <c r="AD320" s="420"/>
      <c r="AE320" s="420"/>
      <c r="AF320" s="420" t="str">
        <f t="shared" si="112"/>
        <v/>
      </c>
      <c r="AG320" s="420"/>
      <c r="AH320" s="420"/>
      <c r="AI320" s="833"/>
      <c r="AJ320" s="833"/>
      <c r="AK320" s="833"/>
      <c r="AL320" s="833"/>
      <c r="AM320" s="833"/>
      <c r="AN320" s="833"/>
      <c r="AO320" s="833"/>
      <c r="AP320" s="833"/>
      <c r="AQ320" s="833"/>
      <c r="AR320" s="833"/>
      <c r="AS320" s="833"/>
      <c r="AT320" s="847"/>
    </row>
    <row r="321" spans="2:46" ht="18" customHeight="1">
      <c r="B321" s="806"/>
      <c r="C321" s="420"/>
      <c r="D321" s="420"/>
      <c r="E321" s="560"/>
      <c r="F321" s="562"/>
      <c r="G321" s="817"/>
      <c r="H321" s="818"/>
      <c r="I321" s="560"/>
      <c r="J321" s="562"/>
      <c r="K321" s="560"/>
      <c r="L321" s="562"/>
      <c r="M321" s="560"/>
      <c r="N321" s="562"/>
      <c r="O321" s="560"/>
      <c r="P321" s="561"/>
      <c r="Q321" s="562"/>
      <c r="R321" s="420" t="str">
        <f t="shared" si="116"/>
        <v/>
      </c>
      <c r="S321" s="420"/>
      <c r="T321" s="420"/>
      <c r="U321" s="814" t="str">
        <f t="shared" si="117"/>
        <v/>
      </c>
      <c r="V321" s="357"/>
      <c r="W321" s="782"/>
      <c r="X321" s="402"/>
      <c r="Y321" s="402"/>
      <c r="Z321" s="560"/>
      <c r="AA321" s="561"/>
      <c r="AB321" s="562"/>
      <c r="AC321" s="420" t="str">
        <f t="shared" si="118"/>
        <v/>
      </c>
      <c r="AD321" s="420"/>
      <c r="AE321" s="420"/>
      <c r="AF321" s="420" t="str">
        <f t="shared" si="112"/>
        <v/>
      </c>
      <c r="AG321" s="420"/>
      <c r="AH321" s="420"/>
      <c r="AI321" s="833"/>
      <c r="AJ321" s="833"/>
      <c r="AK321" s="833"/>
      <c r="AL321" s="833"/>
      <c r="AM321" s="833"/>
      <c r="AN321" s="833"/>
      <c r="AO321" s="833"/>
      <c r="AP321" s="833"/>
      <c r="AQ321" s="833"/>
      <c r="AR321" s="833"/>
      <c r="AS321" s="833"/>
      <c r="AT321" s="847"/>
    </row>
    <row r="322" spans="2:46" ht="18" customHeight="1">
      <c r="B322" s="806"/>
      <c r="C322" s="420"/>
      <c r="D322" s="420"/>
      <c r="E322" s="560"/>
      <c r="F322" s="562"/>
      <c r="G322" s="817"/>
      <c r="H322" s="818"/>
      <c r="I322" s="560"/>
      <c r="J322" s="562"/>
      <c r="K322" s="560"/>
      <c r="L322" s="562"/>
      <c r="M322" s="560"/>
      <c r="N322" s="562"/>
      <c r="O322" s="560"/>
      <c r="P322" s="561"/>
      <c r="Q322" s="562"/>
      <c r="R322" s="420" t="str">
        <f t="shared" si="116"/>
        <v/>
      </c>
      <c r="S322" s="420"/>
      <c r="T322" s="420"/>
      <c r="U322" s="814" t="str">
        <f t="shared" si="117"/>
        <v/>
      </c>
      <c r="V322" s="357"/>
      <c r="W322" s="782"/>
      <c r="X322" s="402"/>
      <c r="Y322" s="402"/>
      <c r="Z322" s="560"/>
      <c r="AA322" s="561"/>
      <c r="AB322" s="562"/>
      <c r="AC322" s="420" t="str">
        <f t="shared" si="118"/>
        <v/>
      </c>
      <c r="AD322" s="420"/>
      <c r="AE322" s="420"/>
      <c r="AF322" s="420" t="str">
        <f t="shared" si="112"/>
        <v/>
      </c>
      <c r="AG322" s="420"/>
      <c r="AH322" s="420"/>
      <c r="AI322" s="833"/>
      <c r="AJ322" s="833"/>
      <c r="AK322" s="833"/>
      <c r="AL322" s="833"/>
      <c r="AM322" s="833"/>
      <c r="AN322" s="833"/>
      <c r="AO322" s="833"/>
      <c r="AP322" s="833"/>
      <c r="AQ322" s="833"/>
      <c r="AR322" s="833"/>
      <c r="AS322" s="833"/>
      <c r="AT322" s="847"/>
    </row>
    <row r="323" spans="2:46" ht="18" customHeight="1">
      <c r="B323" s="806"/>
      <c r="C323" s="420"/>
      <c r="D323" s="420"/>
      <c r="E323" s="560"/>
      <c r="F323" s="562"/>
      <c r="G323" s="817"/>
      <c r="H323" s="818"/>
      <c r="I323" s="560"/>
      <c r="J323" s="562"/>
      <c r="K323" s="560"/>
      <c r="L323" s="562"/>
      <c r="M323" s="560"/>
      <c r="N323" s="562"/>
      <c r="O323" s="560"/>
      <c r="P323" s="561"/>
      <c r="Q323" s="562"/>
      <c r="R323" s="420" t="str">
        <f t="shared" si="116"/>
        <v/>
      </c>
      <c r="S323" s="420"/>
      <c r="T323" s="420"/>
      <c r="U323" s="814" t="str">
        <f t="shared" si="117"/>
        <v/>
      </c>
      <c r="V323" s="357"/>
      <c r="W323" s="782"/>
      <c r="X323" s="402"/>
      <c r="Y323" s="402"/>
      <c r="Z323" s="560"/>
      <c r="AA323" s="561"/>
      <c r="AB323" s="562"/>
      <c r="AC323" s="420" t="str">
        <f t="shared" si="118"/>
        <v/>
      </c>
      <c r="AD323" s="420"/>
      <c r="AE323" s="420"/>
      <c r="AF323" s="420" t="str">
        <f t="shared" si="112"/>
        <v/>
      </c>
      <c r="AG323" s="420"/>
      <c r="AH323" s="420"/>
      <c r="AI323" s="833"/>
      <c r="AJ323" s="833"/>
      <c r="AK323" s="833"/>
      <c r="AL323" s="833"/>
      <c r="AM323" s="833"/>
      <c r="AN323" s="833"/>
      <c r="AO323" s="833"/>
      <c r="AP323" s="833"/>
      <c r="AQ323" s="833"/>
      <c r="AR323" s="833"/>
      <c r="AS323" s="833"/>
      <c r="AT323" s="847"/>
    </row>
    <row r="324" spans="2:46" ht="18" customHeight="1">
      <c r="B324" s="806"/>
      <c r="C324" s="420"/>
      <c r="D324" s="420"/>
      <c r="E324" s="560"/>
      <c r="F324" s="562"/>
      <c r="G324" s="817"/>
      <c r="H324" s="818"/>
      <c r="I324" s="560"/>
      <c r="J324" s="562"/>
      <c r="K324" s="560"/>
      <c r="L324" s="562"/>
      <c r="M324" s="560"/>
      <c r="N324" s="562"/>
      <c r="O324" s="560"/>
      <c r="P324" s="561"/>
      <c r="Q324" s="562"/>
      <c r="R324" s="420" t="str">
        <f t="shared" si="116"/>
        <v/>
      </c>
      <c r="S324" s="420"/>
      <c r="T324" s="420"/>
      <c r="U324" s="814" t="str">
        <f t="shared" si="117"/>
        <v/>
      </c>
      <c r="V324" s="357"/>
      <c r="W324" s="782"/>
      <c r="X324" s="402"/>
      <c r="Y324" s="402"/>
      <c r="Z324" s="560"/>
      <c r="AA324" s="561"/>
      <c r="AB324" s="562"/>
      <c r="AC324" s="420" t="str">
        <f t="shared" si="118"/>
        <v/>
      </c>
      <c r="AD324" s="420"/>
      <c r="AE324" s="420"/>
      <c r="AF324" s="420" t="str">
        <f t="shared" si="112"/>
        <v/>
      </c>
      <c r="AG324" s="420"/>
      <c r="AH324" s="420"/>
      <c r="AI324" s="833"/>
      <c r="AJ324" s="833"/>
      <c r="AK324" s="833"/>
      <c r="AL324" s="833"/>
      <c r="AM324" s="833"/>
      <c r="AN324" s="833"/>
      <c r="AO324" s="833"/>
      <c r="AP324" s="833"/>
      <c r="AQ324" s="833"/>
      <c r="AR324" s="833"/>
      <c r="AS324" s="833"/>
      <c r="AT324" s="847"/>
    </row>
    <row r="325" spans="2:46" ht="18" customHeight="1">
      <c r="B325" s="806"/>
      <c r="C325" s="420"/>
      <c r="D325" s="420"/>
      <c r="E325" s="560"/>
      <c r="F325" s="562"/>
      <c r="G325" s="817"/>
      <c r="H325" s="818"/>
      <c r="I325" s="560"/>
      <c r="J325" s="562"/>
      <c r="K325" s="560"/>
      <c r="L325" s="562"/>
      <c r="M325" s="560"/>
      <c r="N325" s="562"/>
      <c r="O325" s="560"/>
      <c r="P325" s="561"/>
      <c r="Q325" s="562"/>
      <c r="R325" s="420" t="str">
        <f t="shared" si="116"/>
        <v/>
      </c>
      <c r="S325" s="420"/>
      <c r="T325" s="420"/>
      <c r="U325" s="814" t="str">
        <f t="shared" si="117"/>
        <v/>
      </c>
      <c r="V325" s="357"/>
      <c r="W325" s="782"/>
      <c r="X325" s="402"/>
      <c r="Y325" s="402"/>
      <c r="Z325" s="560"/>
      <c r="AA325" s="561"/>
      <c r="AB325" s="562"/>
      <c r="AC325" s="420" t="str">
        <f t="shared" si="118"/>
        <v/>
      </c>
      <c r="AD325" s="420"/>
      <c r="AE325" s="420"/>
      <c r="AF325" s="420" t="str">
        <f t="shared" si="112"/>
        <v/>
      </c>
      <c r="AG325" s="420"/>
      <c r="AH325" s="420"/>
      <c r="AI325" s="833"/>
      <c r="AJ325" s="833"/>
      <c r="AK325" s="833"/>
      <c r="AL325" s="833"/>
      <c r="AM325" s="833"/>
      <c r="AN325" s="833"/>
      <c r="AO325" s="833"/>
      <c r="AP325" s="833"/>
      <c r="AQ325" s="833"/>
      <c r="AR325" s="833"/>
      <c r="AS325" s="833"/>
      <c r="AT325" s="847"/>
    </row>
    <row r="326" spans="2:46" ht="18" customHeight="1">
      <c r="B326" s="806"/>
      <c r="C326" s="420"/>
      <c r="D326" s="420"/>
      <c r="E326" s="560"/>
      <c r="F326" s="562"/>
      <c r="G326" s="817"/>
      <c r="H326" s="818"/>
      <c r="I326" s="560"/>
      <c r="J326" s="562"/>
      <c r="K326" s="560"/>
      <c r="L326" s="562"/>
      <c r="M326" s="560"/>
      <c r="N326" s="562"/>
      <c r="O326" s="560"/>
      <c r="P326" s="561"/>
      <c r="Q326" s="562"/>
      <c r="R326" s="420" t="str">
        <f t="shared" si="116"/>
        <v/>
      </c>
      <c r="S326" s="420"/>
      <c r="T326" s="420"/>
      <c r="U326" s="814" t="str">
        <f t="shared" si="117"/>
        <v/>
      </c>
      <c r="V326" s="357"/>
      <c r="W326" s="782"/>
      <c r="X326" s="402"/>
      <c r="Y326" s="402"/>
      <c r="Z326" s="560"/>
      <c r="AA326" s="561"/>
      <c r="AB326" s="562"/>
      <c r="AC326" s="420" t="str">
        <f t="shared" si="118"/>
        <v/>
      </c>
      <c r="AD326" s="420"/>
      <c r="AE326" s="420"/>
      <c r="AF326" s="420" t="str">
        <f t="shared" si="112"/>
        <v/>
      </c>
      <c r="AG326" s="420"/>
      <c r="AH326" s="420"/>
      <c r="AI326" s="833"/>
      <c r="AJ326" s="833"/>
      <c r="AK326" s="833"/>
      <c r="AL326" s="833"/>
      <c r="AM326" s="833"/>
      <c r="AN326" s="833"/>
      <c r="AO326" s="833"/>
      <c r="AP326" s="833"/>
      <c r="AQ326" s="833"/>
      <c r="AR326" s="833"/>
      <c r="AS326" s="833"/>
      <c r="AT326" s="847"/>
    </row>
    <row r="327" spans="2:46" ht="18" customHeight="1">
      <c r="B327" s="806"/>
      <c r="C327" s="420"/>
      <c r="D327" s="420"/>
      <c r="E327" s="560"/>
      <c r="F327" s="562"/>
      <c r="G327" s="817"/>
      <c r="H327" s="818"/>
      <c r="I327" s="560"/>
      <c r="J327" s="562"/>
      <c r="K327" s="560"/>
      <c r="L327" s="562"/>
      <c r="M327" s="560"/>
      <c r="N327" s="562"/>
      <c r="O327" s="560"/>
      <c r="P327" s="561"/>
      <c r="Q327" s="562"/>
      <c r="R327" s="420" t="str">
        <f t="shared" si="116"/>
        <v/>
      </c>
      <c r="S327" s="420"/>
      <c r="T327" s="420"/>
      <c r="U327" s="814" t="str">
        <f t="shared" si="117"/>
        <v/>
      </c>
      <c r="V327" s="357"/>
      <c r="W327" s="782"/>
      <c r="X327" s="402"/>
      <c r="Y327" s="402"/>
      <c r="Z327" s="560"/>
      <c r="AA327" s="561"/>
      <c r="AB327" s="562"/>
      <c r="AC327" s="420" t="str">
        <f t="shared" si="118"/>
        <v/>
      </c>
      <c r="AD327" s="420"/>
      <c r="AE327" s="420"/>
      <c r="AF327" s="420" t="str">
        <f t="shared" si="112"/>
        <v/>
      </c>
      <c r="AG327" s="420"/>
      <c r="AH327" s="420"/>
      <c r="AI327" s="833"/>
      <c r="AJ327" s="833"/>
      <c r="AK327" s="833"/>
      <c r="AL327" s="833"/>
      <c r="AM327" s="833"/>
      <c r="AN327" s="833"/>
      <c r="AO327" s="833"/>
      <c r="AP327" s="833"/>
      <c r="AQ327" s="833"/>
      <c r="AR327" s="833"/>
      <c r="AS327" s="833"/>
      <c r="AT327" s="847"/>
    </row>
    <row r="328" spans="2:46" ht="18" customHeight="1">
      <c r="B328" s="806"/>
      <c r="C328" s="420"/>
      <c r="D328" s="420"/>
      <c r="E328" s="560"/>
      <c r="F328" s="562"/>
      <c r="G328" s="817"/>
      <c r="H328" s="818"/>
      <c r="I328" s="560"/>
      <c r="J328" s="562"/>
      <c r="K328" s="560"/>
      <c r="L328" s="562"/>
      <c r="M328" s="560"/>
      <c r="N328" s="562"/>
      <c r="O328" s="560"/>
      <c r="P328" s="561"/>
      <c r="Q328" s="562"/>
      <c r="R328" s="420" t="str">
        <f t="shared" si="116"/>
        <v/>
      </c>
      <c r="S328" s="420"/>
      <c r="T328" s="420"/>
      <c r="U328" s="814" t="str">
        <f t="shared" si="117"/>
        <v/>
      </c>
      <c r="V328" s="357"/>
      <c r="W328" s="782"/>
      <c r="X328" s="402"/>
      <c r="Y328" s="402"/>
      <c r="Z328" s="560"/>
      <c r="AA328" s="561"/>
      <c r="AB328" s="562"/>
      <c r="AC328" s="420" t="str">
        <f t="shared" si="118"/>
        <v/>
      </c>
      <c r="AD328" s="420"/>
      <c r="AE328" s="420"/>
      <c r="AF328" s="420" t="str">
        <f t="shared" si="112"/>
        <v/>
      </c>
      <c r="AG328" s="420"/>
      <c r="AH328" s="420"/>
      <c r="AI328" s="833"/>
      <c r="AJ328" s="833"/>
      <c r="AK328" s="833"/>
      <c r="AL328" s="833"/>
      <c r="AM328" s="833"/>
      <c r="AN328" s="833"/>
      <c r="AO328" s="833"/>
      <c r="AP328" s="833"/>
      <c r="AQ328" s="833"/>
      <c r="AR328" s="833"/>
      <c r="AS328" s="833"/>
      <c r="AT328" s="847"/>
    </row>
    <row r="329" spans="2:46" ht="18" customHeight="1">
      <c r="B329" s="806"/>
      <c r="C329" s="420"/>
      <c r="D329" s="420"/>
      <c r="E329" s="560"/>
      <c r="F329" s="562"/>
      <c r="G329" s="817"/>
      <c r="H329" s="818"/>
      <c r="I329" s="560"/>
      <c r="J329" s="562"/>
      <c r="K329" s="560"/>
      <c r="L329" s="562"/>
      <c r="M329" s="560"/>
      <c r="N329" s="562"/>
      <c r="O329" s="560"/>
      <c r="P329" s="561"/>
      <c r="Q329" s="562"/>
      <c r="R329" s="420" t="str">
        <f t="shared" si="116"/>
        <v/>
      </c>
      <c r="S329" s="420"/>
      <c r="T329" s="420"/>
      <c r="U329" s="814" t="str">
        <f t="shared" si="117"/>
        <v/>
      </c>
      <c r="V329" s="357"/>
      <c r="W329" s="782"/>
      <c r="X329" s="402"/>
      <c r="Y329" s="402"/>
      <c r="Z329" s="560"/>
      <c r="AA329" s="561"/>
      <c r="AB329" s="562"/>
      <c r="AC329" s="420" t="str">
        <f t="shared" si="118"/>
        <v/>
      </c>
      <c r="AD329" s="420"/>
      <c r="AE329" s="420"/>
      <c r="AF329" s="420" t="str">
        <f t="shared" si="112"/>
        <v/>
      </c>
      <c r="AG329" s="420"/>
      <c r="AH329" s="420"/>
      <c r="AI329" s="833"/>
      <c r="AJ329" s="833"/>
      <c r="AK329" s="833"/>
      <c r="AL329" s="833"/>
      <c r="AM329" s="833"/>
      <c r="AN329" s="833"/>
      <c r="AO329" s="833"/>
      <c r="AP329" s="833"/>
      <c r="AQ329" s="833"/>
      <c r="AR329" s="833"/>
      <c r="AS329" s="833"/>
      <c r="AT329" s="847"/>
    </row>
    <row r="330" spans="2:46" ht="18" customHeight="1">
      <c r="B330" s="806"/>
      <c r="C330" s="420"/>
      <c r="D330" s="420"/>
      <c r="E330" s="560"/>
      <c r="F330" s="562"/>
      <c r="G330" s="817"/>
      <c r="H330" s="818"/>
      <c r="I330" s="560"/>
      <c r="J330" s="562"/>
      <c r="K330" s="560"/>
      <c r="L330" s="562"/>
      <c r="M330" s="560"/>
      <c r="N330" s="562"/>
      <c r="O330" s="560"/>
      <c r="P330" s="561"/>
      <c r="Q330" s="562"/>
      <c r="R330" s="420" t="str">
        <f t="shared" si="116"/>
        <v/>
      </c>
      <c r="S330" s="420"/>
      <c r="T330" s="420"/>
      <c r="U330" s="814" t="str">
        <f t="shared" si="117"/>
        <v/>
      </c>
      <c r="V330" s="357"/>
      <c r="W330" s="782"/>
      <c r="X330" s="402"/>
      <c r="Y330" s="402"/>
      <c r="Z330" s="560"/>
      <c r="AA330" s="561"/>
      <c r="AB330" s="562"/>
      <c r="AC330" s="420" t="str">
        <f t="shared" si="118"/>
        <v/>
      </c>
      <c r="AD330" s="420"/>
      <c r="AE330" s="420"/>
      <c r="AF330" s="420" t="str">
        <f t="shared" si="112"/>
        <v/>
      </c>
      <c r="AG330" s="420"/>
      <c r="AH330" s="420"/>
      <c r="AI330" s="833"/>
      <c r="AJ330" s="833"/>
      <c r="AK330" s="833"/>
      <c r="AL330" s="833"/>
      <c r="AM330" s="833"/>
      <c r="AN330" s="833"/>
      <c r="AO330" s="833"/>
      <c r="AP330" s="833"/>
      <c r="AQ330" s="833"/>
      <c r="AR330" s="833"/>
      <c r="AS330" s="833"/>
      <c r="AT330" s="847"/>
    </row>
    <row r="331" spans="2:46" ht="18" customHeight="1">
      <c r="B331" s="806"/>
      <c r="C331" s="420"/>
      <c r="D331" s="420"/>
      <c r="E331" s="560"/>
      <c r="F331" s="562"/>
      <c r="G331" s="817"/>
      <c r="H331" s="818"/>
      <c r="I331" s="560"/>
      <c r="J331" s="562"/>
      <c r="K331" s="560"/>
      <c r="L331" s="562"/>
      <c r="M331" s="560"/>
      <c r="N331" s="562"/>
      <c r="O331" s="560"/>
      <c r="P331" s="561"/>
      <c r="Q331" s="562"/>
      <c r="R331" s="420" t="str">
        <f t="shared" si="116"/>
        <v/>
      </c>
      <c r="S331" s="420"/>
      <c r="T331" s="420"/>
      <c r="U331" s="814" t="str">
        <f t="shared" si="117"/>
        <v/>
      </c>
      <c r="V331" s="357"/>
      <c r="W331" s="782"/>
      <c r="X331" s="402"/>
      <c r="Y331" s="402"/>
      <c r="Z331" s="560"/>
      <c r="AA331" s="561"/>
      <c r="AB331" s="562"/>
      <c r="AC331" s="420" t="str">
        <f t="shared" si="118"/>
        <v/>
      </c>
      <c r="AD331" s="420"/>
      <c r="AE331" s="420"/>
      <c r="AF331" s="420" t="str">
        <f t="shared" si="112"/>
        <v/>
      </c>
      <c r="AG331" s="420"/>
      <c r="AH331" s="420"/>
      <c r="AI331" s="833"/>
      <c r="AJ331" s="833"/>
      <c r="AK331" s="833"/>
      <c r="AL331" s="833"/>
      <c r="AM331" s="833"/>
      <c r="AN331" s="833"/>
      <c r="AO331" s="833"/>
      <c r="AP331" s="833"/>
      <c r="AQ331" s="833"/>
      <c r="AR331" s="833"/>
      <c r="AS331" s="833"/>
      <c r="AT331" s="847"/>
    </row>
    <row r="332" spans="2:46" ht="18" customHeight="1">
      <c r="B332" s="806"/>
      <c r="C332" s="420"/>
      <c r="D332" s="420"/>
      <c r="E332" s="560"/>
      <c r="F332" s="562"/>
      <c r="G332" s="817"/>
      <c r="H332" s="818"/>
      <c r="I332" s="560"/>
      <c r="J332" s="562"/>
      <c r="K332" s="560"/>
      <c r="L332" s="562"/>
      <c r="M332" s="560"/>
      <c r="N332" s="562"/>
      <c r="O332" s="560"/>
      <c r="P332" s="561"/>
      <c r="Q332" s="562"/>
      <c r="R332" s="420" t="str">
        <f t="shared" si="116"/>
        <v/>
      </c>
      <c r="S332" s="420"/>
      <c r="T332" s="420"/>
      <c r="U332" s="814" t="str">
        <f t="shared" si="117"/>
        <v/>
      </c>
      <c r="V332" s="357"/>
      <c r="W332" s="782"/>
      <c r="X332" s="402"/>
      <c r="Y332" s="402"/>
      <c r="Z332" s="560"/>
      <c r="AA332" s="561"/>
      <c r="AB332" s="562"/>
      <c r="AC332" s="420" t="str">
        <f t="shared" si="118"/>
        <v/>
      </c>
      <c r="AD332" s="420"/>
      <c r="AE332" s="420"/>
      <c r="AF332" s="420" t="str">
        <f t="shared" si="112"/>
        <v/>
      </c>
      <c r="AG332" s="420"/>
      <c r="AH332" s="420"/>
      <c r="AI332" s="833"/>
      <c r="AJ332" s="833"/>
      <c r="AK332" s="833"/>
      <c r="AL332" s="833"/>
      <c r="AM332" s="833"/>
      <c r="AN332" s="833"/>
      <c r="AO332" s="833"/>
      <c r="AP332" s="833"/>
      <c r="AQ332" s="833"/>
      <c r="AR332" s="833"/>
      <c r="AS332" s="833"/>
      <c r="AT332" s="847"/>
    </row>
    <row r="333" spans="2:46" ht="18" customHeight="1">
      <c r="B333" s="806"/>
      <c r="C333" s="420"/>
      <c r="D333" s="420"/>
      <c r="E333" s="560"/>
      <c r="F333" s="562"/>
      <c r="G333" s="817"/>
      <c r="H333" s="818"/>
      <c r="I333" s="560"/>
      <c r="J333" s="562"/>
      <c r="K333" s="560"/>
      <c r="L333" s="562"/>
      <c r="M333" s="560"/>
      <c r="N333" s="562"/>
      <c r="O333" s="560"/>
      <c r="P333" s="561"/>
      <c r="Q333" s="562"/>
      <c r="R333" s="420" t="str">
        <f t="shared" si="116"/>
        <v/>
      </c>
      <c r="S333" s="420"/>
      <c r="T333" s="420"/>
      <c r="U333" s="814" t="str">
        <f t="shared" si="117"/>
        <v/>
      </c>
      <c r="V333" s="357"/>
      <c r="W333" s="782"/>
      <c r="X333" s="402"/>
      <c r="Y333" s="402"/>
      <c r="Z333" s="560"/>
      <c r="AA333" s="561"/>
      <c r="AB333" s="562"/>
      <c r="AC333" s="420" t="str">
        <f t="shared" si="118"/>
        <v/>
      </c>
      <c r="AD333" s="420"/>
      <c r="AE333" s="420"/>
      <c r="AF333" s="420" t="str">
        <f t="shared" si="112"/>
        <v/>
      </c>
      <c r="AG333" s="420"/>
      <c r="AH333" s="420"/>
      <c r="AI333" s="833"/>
      <c r="AJ333" s="833"/>
      <c r="AK333" s="833"/>
      <c r="AL333" s="833"/>
      <c r="AM333" s="833"/>
      <c r="AN333" s="833"/>
      <c r="AO333" s="833"/>
      <c r="AP333" s="833"/>
      <c r="AQ333" s="833"/>
      <c r="AR333" s="833"/>
      <c r="AS333" s="833"/>
      <c r="AT333" s="847"/>
    </row>
    <row r="334" spans="2:46" ht="18" customHeight="1">
      <c r="B334" s="806"/>
      <c r="C334" s="420"/>
      <c r="D334" s="420"/>
      <c r="E334" s="560"/>
      <c r="F334" s="562"/>
      <c r="G334" s="817"/>
      <c r="H334" s="818"/>
      <c r="I334" s="560"/>
      <c r="J334" s="562"/>
      <c r="K334" s="560"/>
      <c r="L334" s="562"/>
      <c r="M334" s="560"/>
      <c r="N334" s="562"/>
      <c r="O334" s="560"/>
      <c r="P334" s="561"/>
      <c r="Q334" s="562"/>
      <c r="R334" s="420" t="str">
        <f t="shared" si="116"/>
        <v/>
      </c>
      <c r="S334" s="420"/>
      <c r="T334" s="420"/>
      <c r="U334" s="814" t="str">
        <f t="shared" si="117"/>
        <v/>
      </c>
      <c r="V334" s="357"/>
      <c r="W334" s="782"/>
      <c r="X334" s="402"/>
      <c r="Y334" s="402"/>
      <c r="Z334" s="560"/>
      <c r="AA334" s="561"/>
      <c r="AB334" s="562"/>
      <c r="AC334" s="420" t="str">
        <f t="shared" si="118"/>
        <v/>
      </c>
      <c r="AD334" s="420"/>
      <c r="AE334" s="420"/>
      <c r="AF334" s="420" t="str">
        <f t="shared" si="112"/>
        <v/>
      </c>
      <c r="AG334" s="420"/>
      <c r="AH334" s="420"/>
      <c r="AI334" s="833"/>
      <c r="AJ334" s="833"/>
      <c r="AK334" s="833"/>
      <c r="AL334" s="833"/>
      <c r="AM334" s="833"/>
      <c r="AN334" s="833"/>
      <c r="AO334" s="833"/>
      <c r="AP334" s="833"/>
      <c r="AQ334" s="833"/>
      <c r="AR334" s="833"/>
      <c r="AS334" s="833"/>
      <c r="AT334" s="847"/>
    </row>
    <row r="335" spans="2:46" ht="18" customHeight="1">
      <c r="B335" s="806"/>
      <c r="C335" s="420"/>
      <c r="D335" s="420"/>
      <c r="E335" s="560"/>
      <c r="F335" s="562"/>
      <c r="G335" s="817"/>
      <c r="H335" s="818"/>
      <c r="I335" s="560"/>
      <c r="J335" s="562"/>
      <c r="K335" s="560"/>
      <c r="L335" s="562"/>
      <c r="M335" s="560"/>
      <c r="N335" s="562"/>
      <c r="O335" s="560"/>
      <c r="P335" s="561"/>
      <c r="Q335" s="562"/>
      <c r="R335" s="420" t="str">
        <f t="shared" si="116"/>
        <v/>
      </c>
      <c r="S335" s="420"/>
      <c r="T335" s="420"/>
      <c r="U335" s="814" t="str">
        <f t="shared" si="117"/>
        <v/>
      </c>
      <c r="V335" s="357"/>
      <c r="W335" s="782"/>
      <c r="X335" s="402"/>
      <c r="Y335" s="402"/>
      <c r="Z335" s="560"/>
      <c r="AA335" s="561"/>
      <c r="AB335" s="562"/>
      <c r="AC335" s="420" t="str">
        <f t="shared" si="118"/>
        <v/>
      </c>
      <c r="AD335" s="420"/>
      <c r="AE335" s="420"/>
      <c r="AF335" s="420" t="str">
        <f t="shared" si="112"/>
        <v/>
      </c>
      <c r="AG335" s="420"/>
      <c r="AH335" s="420"/>
      <c r="AI335" s="833"/>
      <c r="AJ335" s="833"/>
      <c r="AK335" s="833"/>
      <c r="AL335" s="833"/>
      <c r="AM335" s="833"/>
      <c r="AN335" s="833"/>
      <c r="AO335" s="833"/>
      <c r="AP335" s="833"/>
      <c r="AQ335" s="833"/>
      <c r="AR335" s="833"/>
      <c r="AS335" s="833"/>
      <c r="AT335" s="847"/>
    </row>
    <row r="336" spans="2:46" ht="18" customHeight="1">
      <c r="B336" s="806"/>
      <c r="C336" s="420"/>
      <c r="D336" s="420"/>
      <c r="E336" s="560"/>
      <c r="F336" s="562"/>
      <c r="G336" s="817"/>
      <c r="H336" s="818"/>
      <c r="I336" s="560"/>
      <c r="J336" s="562"/>
      <c r="K336" s="560"/>
      <c r="L336" s="562"/>
      <c r="M336" s="560"/>
      <c r="N336" s="562"/>
      <c r="O336" s="560"/>
      <c r="P336" s="561"/>
      <c r="Q336" s="562"/>
      <c r="R336" s="420" t="str">
        <f t="shared" si="116"/>
        <v/>
      </c>
      <c r="S336" s="420"/>
      <c r="T336" s="420"/>
      <c r="U336" s="814" t="str">
        <f t="shared" si="117"/>
        <v/>
      </c>
      <c r="V336" s="357"/>
      <c r="W336" s="782"/>
      <c r="X336" s="402"/>
      <c r="Y336" s="402"/>
      <c r="Z336" s="560"/>
      <c r="AA336" s="561"/>
      <c r="AB336" s="562"/>
      <c r="AC336" s="420" t="str">
        <f t="shared" si="118"/>
        <v/>
      </c>
      <c r="AD336" s="420"/>
      <c r="AE336" s="420"/>
      <c r="AF336" s="420" t="str">
        <f t="shared" si="112"/>
        <v/>
      </c>
      <c r="AG336" s="420"/>
      <c r="AH336" s="420"/>
      <c r="AI336" s="833"/>
      <c r="AJ336" s="833"/>
      <c r="AK336" s="833"/>
      <c r="AL336" s="833"/>
      <c r="AM336" s="833"/>
      <c r="AN336" s="833"/>
      <c r="AO336" s="833"/>
      <c r="AP336" s="833"/>
      <c r="AQ336" s="833"/>
      <c r="AR336" s="833"/>
      <c r="AS336" s="833"/>
      <c r="AT336" s="847"/>
    </row>
    <row r="337" spans="2:46" ht="18" customHeight="1">
      <c r="B337" s="806"/>
      <c r="C337" s="420"/>
      <c r="D337" s="420"/>
      <c r="E337" s="560"/>
      <c r="F337" s="562"/>
      <c r="G337" s="817"/>
      <c r="H337" s="818"/>
      <c r="I337" s="560"/>
      <c r="J337" s="562"/>
      <c r="K337" s="560"/>
      <c r="L337" s="562"/>
      <c r="M337" s="560"/>
      <c r="N337" s="562"/>
      <c r="O337" s="560"/>
      <c r="P337" s="561"/>
      <c r="Q337" s="562"/>
      <c r="R337" s="420" t="str">
        <f t="shared" si="116"/>
        <v/>
      </c>
      <c r="S337" s="420"/>
      <c r="T337" s="420"/>
      <c r="U337" s="814" t="str">
        <f t="shared" si="117"/>
        <v/>
      </c>
      <c r="V337" s="357"/>
      <c r="W337" s="782"/>
      <c r="X337" s="402"/>
      <c r="Y337" s="402"/>
      <c r="Z337" s="560"/>
      <c r="AA337" s="561"/>
      <c r="AB337" s="562"/>
      <c r="AC337" s="420" t="str">
        <f t="shared" si="118"/>
        <v/>
      </c>
      <c r="AD337" s="420"/>
      <c r="AE337" s="420"/>
      <c r="AF337" s="420" t="str">
        <f t="shared" si="112"/>
        <v/>
      </c>
      <c r="AG337" s="420"/>
      <c r="AH337" s="420"/>
      <c r="AI337" s="833"/>
      <c r="AJ337" s="833"/>
      <c r="AK337" s="833"/>
      <c r="AL337" s="833"/>
      <c r="AM337" s="833"/>
      <c r="AN337" s="833"/>
      <c r="AO337" s="833"/>
      <c r="AP337" s="833"/>
      <c r="AQ337" s="833"/>
      <c r="AR337" s="833"/>
      <c r="AS337" s="833"/>
      <c r="AT337" s="847"/>
    </row>
    <row r="338" spans="2:46" ht="18" customHeight="1">
      <c r="B338" s="806"/>
      <c r="C338" s="420"/>
      <c r="D338" s="420"/>
      <c r="E338" s="560"/>
      <c r="F338" s="562"/>
      <c r="G338" s="817"/>
      <c r="H338" s="818"/>
      <c r="I338" s="560"/>
      <c r="J338" s="562"/>
      <c r="K338" s="560"/>
      <c r="L338" s="562"/>
      <c r="M338" s="560"/>
      <c r="N338" s="562"/>
      <c r="O338" s="560"/>
      <c r="P338" s="561"/>
      <c r="Q338" s="562"/>
      <c r="R338" s="420" t="str">
        <f t="shared" si="116"/>
        <v/>
      </c>
      <c r="S338" s="420"/>
      <c r="T338" s="420"/>
      <c r="U338" s="814" t="str">
        <f t="shared" si="117"/>
        <v/>
      </c>
      <c r="V338" s="357"/>
      <c r="W338" s="782"/>
      <c r="X338" s="402"/>
      <c r="Y338" s="402"/>
      <c r="Z338" s="560"/>
      <c r="AA338" s="561"/>
      <c r="AB338" s="562"/>
      <c r="AC338" s="420" t="str">
        <f t="shared" si="118"/>
        <v/>
      </c>
      <c r="AD338" s="420"/>
      <c r="AE338" s="420"/>
      <c r="AF338" s="420" t="str">
        <f t="shared" si="112"/>
        <v/>
      </c>
      <c r="AG338" s="420"/>
      <c r="AH338" s="420"/>
      <c r="AI338" s="833"/>
      <c r="AJ338" s="833"/>
      <c r="AK338" s="833"/>
      <c r="AL338" s="833"/>
      <c r="AM338" s="833"/>
      <c r="AN338" s="833"/>
      <c r="AO338" s="833"/>
      <c r="AP338" s="833"/>
      <c r="AQ338" s="833"/>
      <c r="AR338" s="833"/>
      <c r="AS338" s="833"/>
      <c r="AT338" s="847"/>
    </row>
    <row r="339" spans="2:46" ht="18" customHeight="1">
      <c r="B339" s="806"/>
      <c r="C339" s="420"/>
      <c r="D339" s="420"/>
      <c r="E339" s="560"/>
      <c r="F339" s="562"/>
      <c r="G339" s="817"/>
      <c r="H339" s="818"/>
      <c r="I339" s="560"/>
      <c r="J339" s="562"/>
      <c r="K339" s="560"/>
      <c r="L339" s="562"/>
      <c r="M339" s="560"/>
      <c r="N339" s="562"/>
      <c r="O339" s="560"/>
      <c r="P339" s="561"/>
      <c r="Q339" s="562"/>
      <c r="R339" s="420" t="str">
        <f t="shared" si="116"/>
        <v/>
      </c>
      <c r="S339" s="420"/>
      <c r="T339" s="420"/>
      <c r="U339" s="814" t="str">
        <f t="shared" si="117"/>
        <v/>
      </c>
      <c r="V339" s="357"/>
      <c r="W339" s="782"/>
      <c r="X339" s="402"/>
      <c r="Y339" s="402"/>
      <c r="Z339" s="560"/>
      <c r="AA339" s="561"/>
      <c r="AB339" s="562"/>
      <c r="AC339" s="420" t="str">
        <f t="shared" si="118"/>
        <v/>
      </c>
      <c r="AD339" s="420"/>
      <c r="AE339" s="420"/>
      <c r="AF339" s="420" t="str">
        <f t="shared" si="112"/>
        <v/>
      </c>
      <c r="AG339" s="420"/>
      <c r="AH339" s="420"/>
      <c r="AI339" s="833"/>
      <c r="AJ339" s="833"/>
      <c r="AK339" s="833"/>
      <c r="AL339" s="833"/>
      <c r="AM339" s="833"/>
      <c r="AN339" s="833"/>
      <c r="AO339" s="833"/>
      <c r="AP339" s="833"/>
      <c r="AQ339" s="833"/>
      <c r="AR339" s="833"/>
      <c r="AS339" s="833"/>
      <c r="AT339" s="847"/>
    </row>
    <row r="340" spans="2:46" ht="18" customHeight="1">
      <c r="B340" s="806"/>
      <c r="C340" s="420"/>
      <c r="D340" s="420"/>
      <c r="E340" s="560"/>
      <c r="F340" s="562"/>
      <c r="G340" s="817"/>
      <c r="H340" s="818"/>
      <c r="I340" s="560"/>
      <c r="J340" s="562"/>
      <c r="K340" s="560"/>
      <c r="L340" s="562"/>
      <c r="M340" s="560"/>
      <c r="N340" s="562"/>
      <c r="O340" s="560"/>
      <c r="P340" s="561"/>
      <c r="Q340" s="562"/>
      <c r="R340" s="420" t="str">
        <f t="shared" si="116"/>
        <v/>
      </c>
      <c r="S340" s="420"/>
      <c r="T340" s="420"/>
      <c r="U340" s="814" t="str">
        <f t="shared" si="117"/>
        <v/>
      </c>
      <c r="V340" s="357"/>
      <c r="W340" s="782"/>
      <c r="X340" s="402"/>
      <c r="Y340" s="402"/>
      <c r="Z340" s="560"/>
      <c r="AA340" s="561"/>
      <c r="AB340" s="562"/>
      <c r="AC340" s="420" t="str">
        <f t="shared" si="118"/>
        <v/>
      </c>
      <c r="AD340" s="420"/>
      <c r="AE340" s="420"/>
      <c r="AF340" s="420" t="str">
        <f t="shared" si="112"/>
        <v/>
      </c>
      <c r="AG340" s="420"/>
      <c r="AH340" s="420"/>
      <c r="AI340" s="833"/>
      <c r="AJ340" s="833"/>
      <c r="AK340" s="833"/>
      <c r="AL340" s="833"/>
      <c r="AM340" s="833"/>
      <c r="AN340" s="833"/>
      <c r="AO340" s="833"/>
      <c r="AP340" s="833"/>
      <c r="AQ340" s="833"/>
      <c r="AR340" s="833"/>
      <c r="AS340" s="833"/>
      <c r="AT340" s="847"/>
    </row>
    <row r="341" spans="2:46" ht="18" customHeight="1">
      <c r="B341" s="806"/>
      <c r="C341" s="420"/>
      <c r="D341" s="420"/>
      <c r="E341" s="560"/>
      <c r="F341" s="562"/>
      <c r="G341" s="817"/>
      <c r="H341" s="818"/>
      <c r="I341" s="560"/>
      <c r="J341" s="562"/>
      <c r="K341" s="560"/>
      <c r="L341" s="562"/>
      <c r="M341" s="560"/>
      <c r="N341" s="562"/>
      <c r="O341" s="560"/>
      <c r="P341" s="561"/>
      <c r="Q341" s="562"/>
      <c r="R341" s="420" t="str">
        <f t="shared" si="116"/>
        <v/>
      </c>
      <c r="S341" s="420"/>
      <c r="T341" s="420"/>
      <c r="U341" s="814" t="str">
        <f t="shared" si="117"/>
        <v/>
      </c>
      <c r="V341" s="357"/>
      <c r="W341" s="782"/>
      <c r="X341" s="402"/>
      <c r="Y341" s="402"/>
      <c r="Z341" s="560"/>
      <c r="AA341" s="561"/>
      <c r="AB341" s="562"/>
      <c r="AC341" s="420" t="str">
        <f t="shared" si="118"/>
        <v/>
      </c>
      <c r="AD341" s="420"/>
      <c r="AE341" s="420"/>
      <c r="AF341" s="420" t="str">
        <f t="shared" si="112"/>
        <v/>
      </c>
      <c r="AG341" s="420"/>
      <c r="AH341" s="420"/>
      <c r="AI341" s="833"/>
      <c r="AJ341" s="833"/>
      <c r="AK341" s="833"/>
      <c r="AL341" s="833"/>
      <c r="AM341" s="833"/>
      <c r="AN341" s="833"/>
      <c r="AO341" s="833"/>
      <c r="AP341" s="833"/>
      <c r="AQ341" s="833"/>
      <c r="AR341" s="833"/>
      <c r="AS341" s="833"/>
      <c r="AT341" s="847"/>
    </row>
    <row r="342" spans="2:46" ht="18" customHeight="1">
      <c r="B342" s="806"/>
      <c r="C342" s="420"/>
      <c r="D342" s="420"/>
      <c r="E342" s="560"/>
      <c r="F342" s="562"/>
      <c r="G342" s="817"/>
      <c r="H342" s="818"/>
      <c r="I342" s="560"/>
      <c r="J342" s="562"/>
      <c r="K342" s="560"/>
      <c r="L342" s="562"/>
      <c r="M342" s="560"/>
      <c r="N342" s="562"/>
      <c r="O342" s="560"/>
      <c r="P342" s="561"/>
      <c r="Q342" s="562"/>
      <c r="R342" s="420" t="str">
        <f t="shared" si="116"/>
        <v/>
      </c>
      <c r="S342" s="420"/>
      <c r="T342" s="420"/>
      <c r="U342" s="814" t="str">
        <f t="shared" si="117"/>
        <v/>
      </c>
      <c r="V342" s="357"/>
      <c r="W342" s="782"/>
      <c r="X342" s="402"/>
      <c r="Y342" s="402"/>
      <c r="Z342" s="560"/>
      <c r="AA342" s="561"/>
      <c r="AB342" s="562"/>
      <c r="AC342" s="420" t="str">
        <f t="shared" si="118"/>
        <v/>
      </c>
      <c r="AD342" s="420"/>
      <c r="AE342" s="420"/>
      <c r="AF342" s="420" t="str">
        <f t="shared" si="112"/>
        <v/>
      </c>
      <c r="AG342" s="420"/>
      <c r="AH342" s="420"/>
      <c r="AI342" s="833"/>
      <c r="AJ342" s="833"/>
      <c r="AK342" s="833"/>
      <c r="AL342" s="833"/>
      <c r="AM342" s="833"/>
      <c r="AN342" s="833"/>
      <c r="AO342" s="833"/>
      <c r="AP342" s="833"/>
      <c r="AQ342" s="833"/>
      <c r="AR342" s="833"/>
      <c r="AS342" s="833"/>
      <c r="AT342" s="847"/>
    </row>
    <row r="343" spans="2:46" ht="18" customHeight="1">
      <c r="B343" s="806"/>
      <c r="C343" s="420"/>
      <c r="D343" s="420"/>
      <c r="E343" s="560"/>
      <c r="F343" s="562"/>
      <c r="G343" s="817"/>
      <c r="H343" s="818"/>
      <c r="I343" s="560"/>
      <c r="J343" s="562"/>
      <c r="K343" s="560"/>
      <c r="L343" s="562"/>
      <c r="M343" s="560"/>
      <c r="N343" s="562"/>
      <c r="O343" s="560"/>
      <c r="P343" s="561"/>
      <c r="Q343" s="562"/>
      <c r="R343" s="420" t="str">
        <f t="shared" si="116"/>
        <v/>
      </c>
      <c r="S343" s="420"/>
      <c r="T343" s="420"/>
      <c r="U343" s="814" t="str">
        <f t="shared" si="117"/>
        <v/>
      </c>
      <c r="V343" s="357"/>
      <c r="W343" s="782"/>
      <c r="X343" s="402"/>
      <c r="Y343" s="402"/>
      <c r="Z343" s="560"/>
      <c r="AA343" s="561"/>
      <c r="AB343" s="562"/>
      <c r="AC343" s="420" t="str">
        <f t="shared" si="118"/>
        <v/>
      </c>
      <c r="AD343" s="420"/>
      <c r="AE343" s="420"/>
      <c r="AF343" s="420" t="str">
        <f t="shared" si="112"/>
        <v/>
      </c>
      <c r="AG343" s="420"/>
      <c r="AH343" s="420"/>
      <c r="AI343" s="833"/>
      <c r="AJ343" s="833"/>
      <c r="AK343" s="833"/>
      <c r="AL343" s="833"/>
      <c r="AM343" s="833"/>
      <c r="AN343" s="833"/>
      <c r="AO343" s="833"/>
      <c r="AP343" s="833"/>
      <c r="AQ343" s="833"/>
      <c r="AR343" s="833"/>
      <c r="AS343" s="833"/>
      <c r="AT343" s="847"/>
    </row>
    <row r="344" spans="2:46" ht="18" customHeight="1">
      <c r="B344" s="806"/>
      <c r="C344" s="420"/>
      <c r="D344" s="420"/>
      <c r="E344" s="560"/>
      <c r="F344" s="562"/>
      <c r="G344" s="817"/>
      <c r="H344" s="818"/>
      <c r="I344" s="560"/>
      <c r="J344" s="562"/>
      <c r="K344" s="560"/>
      <c r="L344" s="562"/>
      <c r="M344" s="560"/>
      <c r="N344" s="562"/>
      <c r="O344" s="560"/>
      <c r="P344" s="561"/>
      <c r="Q344" s="562"/>
      <c r="R344" s="420" t="str">
        <f t="shared" si="116"/>
        <v/>
      </c>
      <c r="S344" s="420"/>
      <c r="T344" s="420"/>
      <c r="U344" s="814" t="str">
        <f t="shared" si="117"/>
        <v/>
      </c>
      <c r="V344" s="357"/>
      <c r="W344" s="782"/>
      <c r="X344" s="402"/>
      <c r="Y344" s="402"/>
      <c r="Z344" s="560"/>
      <c r="AA344" s="561"/>
      <c r="AB344" s="562"/>
      <c r="AC344" s="420" t="str">
        <f t="shared" si="118"/>
        <v/>
      </c>
      <c r="AD344" s="420"/>
      <c r="AE344" s="420"/>
      <c r="AF344" s="420" t="str">
        <f t="shared" si="112"/>
        <v/>
      </c>
      <c r="AG344" s="420"/>
      <c r="AH344" s="420"/>
      <c r="AI344" s="833"/>
      <c r="AJ344" s="833"/>
      <c r="AK344" s="833"/>
      <c r="AL344" s="833"/>
      <c r="AM344" s="833"/>
      <c r="AN344" s="833"/>
      <c r="AO344" s="833"/>
      <c r="AP344" s="833"/>
      <c r="AQ344" s="833"/>
      <c r="AR344" s="833"/>
      <c r="AS344" s="833"/>
      <c r="AT344" s="847"/>
    </row>
    <row r="345" spans="2:46" ht="18" customHeight="1">
      <c r="B345" s="806"/>
      <c r="C345" s="420"/>
      <c r="D345" s="420"/>
      <c r="E345" s="560"/>
      <c r="F345" s="562"/>
      <c r="G345" s="817"/>
      <c r="H345" s="818"/>
      <c r="I345" s="560"/>
      <c r="J345" s="562"/>
      <c r="K345" s="560"/>
      <c r="L345" s="562"/>
      <c r="M345" s="560"/>
      <c r="N345" s="562"/>
      <c r="O345" s="560"/>
      <c r="P345" s="561"/>
      <c r="Q345" s="562"/>
      <c r="R345" s="420" t="str">
        <f t="shared" si="116"/>
        <v/>
      </c>
      <c r="S345" s="420"/>
      <c r="T345" s="420"/>
      <c r="U345" s="814" t="str">
        <f t="shared" si="117"/>
        <v/>
      </c>
      <c r="V345" s="357"/>
      <c r="W345" s="782"/>
      <c r="X345" s="402"/>
      <c r="Y345" s="402"/>
      <c r="Z345" s="560"/>
      <c r="AA345" s="561"/>
      <c r="AB345" s="562"/>
      <c r="AC345" s="420" t="str">
        <f t="shared" si="118"/>
        <v/>
      </c>
      <c r="AD345" s="420"/>
      <c r="AE345" s="420"/>
      <c r="AF345" s="420" t="str">
        <f t="shared" si="112"/>
        <v/>
      </c>
      <c r="AG345" s="420"/>
      <c r="AH345" s="420"/>
      <c r="AI345" s="833"/>
      <c r="AJ345" s="833"/>
      <c r="AK345" s="833"/>
      <c r="AL345" s="833"/>
      <c r="AM345" s="833"/>
      <c r="AN345" s="833"/>
      <c r="AO345" s="833"/>
      <c r="AP345" s="833"/>
      <c r="AQ345" s="833"/>
      <c r="AR345" s="833"/>
      <c r="AS345" s="833"/>
      <c r="AT345" s="847"/>
    </row>
    <row r="346" spans="2:46" ht="18" customHeight="1">
      <c r="B346" s="806"/>
      <c r="C346" s="420"/>
      <c r="D346" s="420"/>
      <c r="E346" s="560"/>
      <c r="F346" s="562"/>
      <c r="G346" s="817"/>
      <c r="H346" s="818"/>
      <c r="I346" s="560"/>
      <c r="J346" s="562"/>
      <c r="K346" s="560"/>
      <c r="L346" s="562"/>
      <c r="M346" s="560"/>
      <c r="N346" s="562"/>
      <c r="O346" s="560"/>
      <c r="P346" s="561"/>
      <c r="Q346" s="562"/>
      <c r="R346" s="420" t="str">
        <f t="shared" si="116"/>
        <v/>
      </c>
      <c r="S346" s="420"/>
      <c r="T346" s="420"/>
      <c r="U346" s="814" t="str">
        <f t="shared" si="117"/>
        <v/>
      </c>
      <c r="V346" s="357"/>
      <c r="W346" s="782"/>
      <c r="X346" s="402"/>
      <c r="Y346" s="402"/>
      <c r="Z346" s="560"/>
      <c r="AA346" s="561"/>
      <c r="AB346" s="562"/>
      <c r="AC346" s="420" t="str">
        <f t="shared" si="118"/>
        <v/>
      </c>
      <c r="AD346" s="420"/>
      <c r="AE346" s="420"/>
      <c r="AF346" s="420" t="str">
        <f t="shared" si="112"/>
        <v/>
      </c>
      <c r="AG346" s="420"/>
      <c r="AH346" s="420"/>
      <c r="AI346" s="833"/>
      <c r="AJ346" s="833"/>
      <c r="AK346" s="833"/>
      <c r="AL346" s="833"/>
      <c r="AM346" s="833"/>
      <c r="AN346" s="833"/>
      <c r="AO346" s="833"/>
      <c r="AP346" s="833"/>
      <c r="AQ346" s="833"/>
      <c r="AR346" s="833"/>
      <c r="AS346" s="833"/>
      <c r="AT346" s="847"/>
    </row>
    <row r="347" spans="2:46" ht="18" customHeight="1">
      <c r="B347" s="806"/>
      <c r="C347" s="420"/>
      <c r="D347" s="420"/>
      <c r="E347" s="560"/>
      <c r="F347" s="562"/>
      <c r="G347" s="817"/>
      <c r="H347" s="818"/>
      <c r="I347" s="560"/>
      <c r="J347" s="562"/>
      <c r="K347" s="560"/>
      <c r="L347" s="562"/>
      <c r="M347" s="560"/>
      <c r="N347" s="562"/>
      <c r="O347" s="560"/>
      <c r="P347" s="561"/>
      <c r="Q347" s="562"/>
      <c r="R347" s="420" t="str">
        <f t="shared" si="116"/>
        <v/>
      </c>
      <c r="S347" s="420"/>
      <c r="T347" s="420"/>
      <c r="U347" s="814" t="str">
        <f t="shared" si="117"/>
        <v/>
      </c>
      <c r="V347" s="357"/>
      <c r="W347" s="782"/>
      <c r="X347" s="402"/>
      <c r="Y347" s="402"/>
      <c r="Z347" s="560"/>
      <c r="AA347" s="561"/>
      <c r="AB347" s="562"/>
      <c r="AC347" s="420" t="str">
        <f t="shared" si="118"/>
        <v/>
      </c>
      <c r="AD347" s="420"/>
      <c r="AE347" s="420"/>
      <c r="AF347" s="420" t="str">
        <f t="shared" si="112"/>
        <v/>
      </c>
      <c r="AG347" s="420"/>
      <c r="AH347" s="420"/>
      <c r="AI347" s="833"/>
      <c r="AJ347" s="833"/>
      <c r="AK347" s="833"/>
      <c r="AL347" s="833"/>
      <c r="AM347" s="833"/>
      <c r="AN347" s="833"/>
      <c r="AO347" s="833"/>
      <c r="AP347" s="833"/>
      <c r="AQ347" s="833"/>
      <c r="AR347" s="833"/>
      <c r="AS347" s="833"/>
      <c r="AT347" s="847"/>
    </row>
    <row r="348" spans="2:46" ht="18" customHeight="1">
      <c r="B348" s="806"/>
      <c r="C348" s="420"/>
      <c r="D348" s="420"/>
      <c r="E348" s="560"/>
      <c r="F348" s="562"/>
      <c r="G348" s="817"/>
      <c r="H348" s="818"/>
      <c r="I348" s="560"/>
      <c r="J348" s="562"/>
      <c r="K348" s="560"/>
      <c r="L348" s="562"/>
      <c r="M348" s="560"/>
      <c r="N348" s="562"/>
      <c r="O348" s="560"/>
      <c r="P348" s="561"/>
      <c r="Q348" s="562"/>
      <c r="R348" s="420" t="str">
        <f t="shared" si="116"/>
        <v/>
      </c>
      <c r="S348" s="420"/>
      <c r="T348" s="420"/>
      <c r="U348" s="814" t="str">
        <f t="shared" si="117"/>
        <v/>
      </c>
      <c r="V348" s="357"/>
      <c r="W348" s="782"/>
      <c r="X348" s="402"/>
      <c r="Y348" s="402"/>
      <c r="Z348" s="560"/>
      <c r="AA348" s="561"/>
      <c r="AB348" s="562"/>
      <c r="AC348" s="420" t="str">
        <f t="shared" si="118"/>
        <v/>
      </c>
      <c r="AD348" s="420"/>
      <c r="AE348" s="420"/>
      <c r="AF348" s="420" t="str">
        <f t="shared" si="112"/>
        <v/>
      </c>
      <c r="AG348" s="420"/>
      <c r="AH348" s="420"/>
      <c r="AI348" s="833"/>
      <c r="AJ348" s="833"/>
      <c r="AK348" s="833"/>
      <c r="AL348" s="833"/>
      <c r="AM348" s="833"/>
      <c r="AN348" s="833"/>
      <c r="AO348" s="833"/>
      <c r="AP348" s="833"/>
      <c r="AQ348" s="833"/>
      <c r="AR348" s="833"/>
      <c r="AS348" s="833"/>
      <c r="AT348" s="847"/>
    </row>
    <row r="349" spans="2:46" ht="18" customHeight="1">
      <c r="B349" s="806"/>
      <c r="C349" s="420"/>
      <c r="D349" s="420"/>
      <c r="E349" s="560"/>
      <c r="F349" s="562"/>
      <c r="G349" s="817"/>
      <c r="H349" s="818"/>
      <c r="I349" s="560"/>
      <c r="J349" s="562"/>
      <c r="K349" s="560"/>
      <c r="L349" s="562"/>
      <c r="M349" s="560"/>
      <c r="N349" s="562"/>
      <c r="O349" s="560"/>
      <c r="P349" s="561"/>
      <c r="Q349" s="562"/>
      <c r="R349" s="420" t="str">
        <f t="shared" si="116"/>
        <v/>
      </c>
      <c r="S349" s="420"/>
      <c r="T349" s="420"/>
      <c r="U349" s="814" t="str">
        <f t="shared" si="117"/>
        <v/>
      </c>
      <c r="V349" s="357"/>
      <c r="W349" s="782"/>
      <c r="X349" s="402"/>
      <c r="Y349" s="402"/>
      <c r="Z349" s="560"/>
      <c r="AA349" s="561"/>
      <c r="AB349" s="562"/>
      <c r="AC349" s="420" t="str">
        <f t="shared" si="118"/>
        <v/>
      </c>
      <c r="AD349" s="420"/>
      <c r="AE349" s="420"/>
      <c r="AF349" s="420" t="str">
        <f t="shared" si="112"/>
        <v/>
      </c>
      <c r="AG349" s="420"/>
      <c r="AH349" s="420"/>
      <c r="AI349" s="833"/>
      <c r="AJ349" s="833"/>
      <c r="AK349" s="833"/>
      <c r="AL349" s="833"/>
      <c r="AM349" s="833"/>
      <c r="AN349" s="833"/>
      <c r="AO349" s="833"/>
      <c r="AP349" s="833"/>
      <c r="AQ349" s="833"/>
      <c r="AR349" s="833"/>
      <c r="AS349" s="833"/>
      <c r="AT349" s="847"/>
    </row>
    <row r="350" spans="2:46" ht="18" customHeight="1">
      <c r="B350" s="806"/>
      <c r="C350" s="420"/>
      <c r="D350" s="420"/>
      <c r="E350" s="560"/>
      <c r="F350" s="562"/>
      <c r="G350" s="817"/>
      <c r="H350" s="818"/>
      <c r="I350" s="560"/>
      <c r="J350" s="562"/>
      <c r="K350" s="560"/>
      <c r="L350" s="562"/>
      <c r="M350" s="560"/>
      <c r="N350" s="562"/>
      <c r="O350" s="560"/>
      <c r="P350" s="561"/>
      <c r="Q350" s="562"/>
      <c r="R350" s="420" t="str">
        <f t="shared" si="116"/>
        <v/>
      </c>
      <c r="S350" s="420"/>
      <c r="T350" s="420"/>
      <c r="U350" s="814" t="str">
        <f t="shared" si="117"/>
        <v/>
      </c>
      <c r="V350" s="357"/>
      <c r="W350" s="782"/>
      <c r="X350" s="402"/>
      <c r="Y350" s="402"/>
      <c r="Z350" s="560"/>
      <c r="AA350" s="561"/>
      <c r="AB350" s="562"/>
      <c r="AC350" s="420" t="str">
        <f t="shared" si="118"/>
        <v/>
      </c>
      <c r="AD350" s="420"/>
      <c r="AE350" s="420"/>
      <c r="AF350" s="420" t="str">
        <f t="shared" si="112"/>
        <v/>
      </c>
      <c r="AG350" s="420"/>
      <c r="AH350" s="420"/>
      <c r="AI350" s="833"/>
      <c r="AJ350" s="833"/>
      <c r="AK350" s="833"/>
      <c r="AL350" s="833"/>
      <c r="AM350" s="833"/>
      <c r="AN350" s="833"/>
      <c r="AO350" s="833"/>
      <c r="AP350" s="833"/>
      <c r="AQ350" s="833"/>
      <c r="AR350" s="833"/>
      <c r="AS350" s="833"/>
      <c r="AT350" s="847"/>
    </row>
    <row r="351" spans="2:46" ht="18" customHeight="1">
      <c r="B351" s="806"/>
      <c r="C351" s="420"/>
      <c r="D351" s="420"/>
      <c r="E351" s="560"/>
      <c r="F351" s="562"/>
      <c r="G351" s="817"/>
      <c r="H351" s="818"/>
      <c r="I351" s="560"/>
      <c r="J351" s="562"/>
      <c r="K351" s="560"/>
      <c r="L351" s="562"/>
      <c r="M351" s="560"/>
      <c r="N351" s="562"/>
      <c r="O351" s="560"/>
      <c r="P351" s="561"/>
      <c r="Q351" s="562"/>
      <c r="R351" s="420" t="str">
        <f t="shared" si="116"/>
        <v/>
      </c>
      <c r="S351" s="420"/>
      <c r="T351" s="420"/>
      <c r="U351" s="814" t="str">
        <f t="shared" si="117"/>
        <v/>
      </c>
      <c r="V351" s="357"/>
      <c r="W351" s="782"/>
      <c r="X351" s="402"/>
      <c r="Y351" s="402"/>
      <c r="Z351" s="560"/>
      <c r="AA351" s="561"/>
      <c r="AB351" s="562"/>
      <c r="AC351" s="420" t="str">
        <f t="shared" si="118"/>
        <v/>
      </c>
      <c r="AD351" s="420"/>
      <c r="AE351" s="420"/>
      <c r="AF351" s="420" t="str">
        <f t="shared" si="112"/>
        <v/>
      </c>
      <c r="AG351" s="420"/>
      <c r="AH351" s="420"/>
      <c r="AI351" s="833"/>
      <c r="AJ351" s="833"/>
      <c r="AK351" s="833"/>
      <c r="AL351" s="833"/>
      <c r="AM351" s="833"/>
      <c r="AN351" s="833"/>
      <c r="AO351" s="833"/>
      <c r="AP351" s="833"/>
      <c r="AQ351" s="833"/>
      <c r="AR351" s="833"/>
      <c r="AS351" s="833"/>
      <c r="AT351" s="847"/>
    </row>
    <row r="352" spans="2:46" ht="18" customHeight="1">
      <c r="B352" s="806"/>
      <c r="C352" s="371" t="s">
        <v>331</v>
      </c>
      <c r="D352" s="412"/>
      <c r="E352" s="822">
        <f>SUMIF(C252:D351,C352,E252:F351)</f>
        <v>0</v>
      </c>
      <c r="F352" s="823"/>
      <c r="G352" s="820" t="str">
        <f>IFERROR(AVERAGEIF(C$252:D$351,C352,G$252:H$351),"")</f>
        <v/>
      </c>
      <c r="H352" s="821"/>
      <c r="I352" s="822" t="str">
        <f>IFERROR(AVERAGEIF(C$252:D$351,C352,I$252:J$351),"")</f>
        <v/>
      </c>
      <c r="J352" s="823"/>
      <c r="K352" s="822" t="str">
        <f>IFERROR(AVERAGEIF(C$252:D$351,C352,K$252:L$351),"")</f>
        <v/>
      </c>
      <c r="L352" s="823"/>
      <c r="M352" s="822" t="str">
        <f>IFERROR(AVERAGEIF(C$252:D$351,C352,M$252:N$351),"")</f>
        <v/>
      </c>
      <c r="N352" s="823"/>
      <c r="O352" s="822">
        <f>SUMIF(C252:D351,C352,O252:Q351)</f>
        <v>0</v>
      </c>
      <c r="P352" s="831"/>
      <c r="Q352" s="823"/>
      <c r="R352" s="420" t="str">
        <f>IF($E352=0,"",IF($O352=0,"",ROUND(($O352-$E352)/$E352*100,1)))</f>
        <v/>
      </c>
      <c r="S352" s="420"/>
      <c r="T352" s="420"/>
      <c r="U352" s="814" t="str">
        <f t="shared" si="117"/>
        <v/>
      </c>
      <c r="V352" s="357"/>
      <c r="W352" s="782"/>
      <c r="X352" s="524" t="str">
        <f>IFERROR(AVERAGEIF(C$252:D$351,C352,X$252:Y$351),"")</f>
        <v/>
      </c>
      <c r="Y352" s="524"/>
      <c r="Z352" s="822">
        <f>SUMIF(C$252:D$351,C352,Z$252:AB$351)</f>
        <v>0</v>
      </c>
      <c r="AA352" s="831"/>
      <c r="AB352" s="823"/>
      <c r="AC352" s="420" t="str">
        <f>IF($E352=0,"",IF($Z352=0,"",ROUND(($Z352-$E352)/$E352*100,1)))</f>
        <v/>
      </c>
      <c r="AD352" s="420"/>
      <c r="AE352" s="420"/>
      <c r="AF352" s="837" t="str">
        <f>IF(G352="","",IF(AC352="","",ROUND(100*(AC352+G352)/(100+AC352),1)))</f>
        <v/>
      </c>
      <c r="AG352" s="837"/>
      <c r="AH352" s="837"/>
      <c r="AI352" s="763" t="s">
        <v>317</v>
      </c>
      <c r="AJ352" s="815"/>
      <c r="AK352" s="816"/>
      <c r="AL352" s="822" t="str">
        <f>IF(AL252="","",AL252)</f>
        <v/>
      </c>
      <c r="AM352" s="831"/>
      <c r="AN352" s="823"/>
      <c r="AO352" s="822" t="str">
        <f t="shared" ref="AO352:AO359" si="119">IF(AO252="","",AO252)</f>
        <v/>
      </c>
      <c r="AP352" s="831"/>
      <c r="AQ352" s="823"/>
      <c r="AR352" s="822" t="str">
        <f t="shared" ref="AR352:AR359" si="120">IF(AR252="","",AR252)</f>
        <v/>
      </c>
      <c r="AS352" s="831"/>
      <c r="AT352" s="823"/>
    </row>
    <row r="353" spans="2:46" ht="18" customHeight="1">
      <c r="B353" s="806"/>
      <c r="C353" s="371" t="s">
        <v>324</v>
      </c>
      <c r="D353" s="412"/>
      <c r="E353" s="822">
        <f>SUMIF(C252:D351,C353,E252:F351)</f>
        <v>0</v>
      </c>
      <c r="F353" s="823"/>
      <c r="G353" s="820" t="str">
        <f t="shared" ref="G353:G359" si="121">IFERROR(AVERAGEIF(C$252:D$351,C353,G$252:H$351),"")</f>
        <v/>
      </c>
      <c r="H353" s="821"/>
      <c r="I353" s="822" t="str">
        <f t="shared" ref="I353:I359" si="122">IFERROR(AVERAGEIF(C$252:D$351,C353,I$252:J$351),"")</f>
        <v/>
      </c>
      <c r="J353" s="823"/>
      <c r="K353" s="822" t="str">
        <f t="shared" ref="K353:K359" si="123">IFERROR(AVERAGEIF(C$252:D$351,C353,K$252:L$351),"")</f>
        <v/>
      </c>
      <c r="L353" s="823"/>
      <c r="M353" s="822" t="str">
        <f t="shared" ref="M353:M359" si="124">IFERROR(AVERAGEIF(C$252:D$351,C353,M$252:N$351),"")</f>
        <v/>
      </c>
      <c r="N353" s="823"/>
      <c r="O353" s="822">
        <f>SUMIF(C252:D351,C353,O252:Q351)</f>
        <v>0</v>
      </c>
      <c r="P353" s="831"/>
      <c r="Q353" s="823"/>
      <c r="R353" s="420" t="str">
        <f t="shared" ref="R353:R358" si="125">IF($E353=0,"",IF($O353=0,"",ROUND(($O353-$E353)/$E353*100,1)))</f>
        <v/>
      </c>
      <c r="S353" s="420"/>
      <c r="T353" s="420"/>
      <c r="U353" s="814" t="str">
        <f t="shared" si="117"/>
        <v/>
      </c>
      <c r="V353" s="357"/>
      <c r="W353" s="782"/>
      <c r="X353" s="524" t="str">
        <f t="shared" ref="X353:X359" si="126">IFERROR(AVERAGEIF(C$252:D$351,C353,X$252:Y$351),"")</f>
        <v/>
      </c>
      <c r="Y353" s="524"/>
      <c r="Z353" s="822">
        <f t="shared" ref="Z353:Z359" si="127">SUMIF(C$252:D$351,C353,Z$252:AB$351)</f>
        <v>0</v>
      </c>
      <c r="AA353" s="831"/>
      <c r="AB353" s="823"/>
      <c r="AC353" s="420" t="str">
        <f t="shared" ref="AC353:AC358" si="128">IF($E353=0,"",IF($Z353=0,"",ROUND(($Z353-$E353)/$E353*100,1)))</f>
        <v/>
      </c>
      <c r="AD353" s="420"/>
      <c r="AE353" s="420"/>
      <c r="AF353" s="837" t="str">
        <f t="shared" si="112"/>
        <v/>
      </c>
      <c r="AG353" s="837"/>
      <c r="AH353" s="837"/>
      <c r="AI353" s="763" t="s">
        <v>243</v>
      </c>
      <c r="AJ353" s="815"/>
      <c r="AK353" s="816"/>
      <c r="AL353" s="822" t="str">
        <f t="shared" ref="AL353:AL359" si="129">IF(AL253="","",AL253)</f>
        <v/>
      </c>
      <c r="AM353" s="831"/>
      <c r="AN353" s="823"/>
      <c r="AO353" s="822" t="str">
        <f t="shared" si="119"/>
        <v/>
      </c>
      <c r="AP353" s="831"/>
      <c r="AQ353" s="823"/>
      <c r="AR353" s="822" t="str">
        <f t="shared" si="120"/>
        <v/>
      </c>
      <c r="AS353" s="831"/>
      <c r="AT353" s="823"/>
    </row>
    <row r="354" spans="2:46" ht="18" customHeight="1">
      <c r="B354" s="806"/>
      <c r="C354" s="371" t="s">
        <v>325</v>
      </c>
      <c r="D354" s="412"/>
      <c r="E354" s="822">
        <f>SUMIF(C252:D351,C354,E252:F351)</f>
        <v>0</v>
      </c>
      <c r="F354" s="823"/>
      <c r="G354" s="820" t="str">
        <f>IFERROR(AVERAGEIF(C$252:D$351,C354,G$252:H$351),"")</f>
        <v/>
      </c>
      <c r="H354" s="821"/>
      <c r="I354" s="822" t="str">
        <f t="shared" si="122"/>
        <v/>
      </c>
      <c r="J354" s="823"/>
      <c r="K354" s="822" t="str">
        <f t="shared" si="123"/>
        <v/>
      </c>
      <c r="L354" s="823"/>
      <c r="M354" s="822" t="str">
        <f t="shared" si="124"/>
        <v/>
      </c>
      <c r="N354" s="823"/>
      <c r="O354" s="822">
        <f>SUMIF(C252:D351,C354,O252:Q351)</f>
        <v>0</v>
      </c>
      <c r="P354" s="831"/>
      <c r="Q354" s="823"/>
      <c r="R354" s="420" t="str">
        <f t="shared" si="125"/>
        <v/>
      </c>
      <c r="S354" s="420"/>
      <c r="T354" s="420"/>
      <c r="U354" s="814" t="str">
        <f t="shared" si="117"/>
        <v/>
      </c>
      <c r="V354" s="357"/>
      <c r="W354" s="782"/>
      <c r="X354" s="524" t="str">
        <f t="shared" si="126"/>
        <v/>
      </c>
      <c r="Y354" s="524"/>
      <c r="Z354" s="822">
        <f t="shared" si="127"/>
        <v>0</v>
      </c>
      <c r="AA354" s="831"/>
      <c r="AB354" s="823"/>
      <c r="AC354" s="420" t="str">
        <f t="shared" si="128"/>
        <v/>
      </c>
      <c r="AD354" s="420"/>
      <c r="AE354" s="420"/>
      <c r="AF354" s="837" t="str">
        <f t="shared" si="112"/>
        <v/>
      </c>
      <c r="AG354" s="837"/>
      <c r="AH354" s="837"/>
      <c r="AI354" s="763" t="s">
        <v>321</v>
      </c>
      <c r="AJ354" s="815"/>
      <c r="AK354" s="816"/>
      <c r="AL354" s="822" t="str">
        <f t="shared" si="129"/>
        <v/>
      </c>
      <c r="AM354" s="831"/>
      <c r="AN354" s="823"/>
      <c r="AO354" s="822" t="str">
        <f t="shared" si="119"/>
        <v/>
      </c>
      <c r="AP354" s="831"/>
      <c r="AQ354" s="823"/>
      <c r="AR354" s="822" t="str">
        <f t="shared" si="120"/>
        <v/>
      </c>
      <c r="AS354" s="831"/>
      <c r="AT354" s="823"/>
    </row>
    <row r="355" spans="2:46" ht="18" customHeight="1">
      <c r="B355" s="806"/>
      <c r="C355" s="403" t="s">
        <v>326</v>
      </c>
      <c r="D355" s="403"/>
      <c r="E355" s="822">
        <f>SUMIF(C252:D351,C355,E252:F351)</f>
        <v>0</v>
      </c>
      <c r="F355" s="823"/>
      <c r="G355" s="820" t="str">
        <f t="shared" si="121"/>
        <v/>
      </c>
      <c r="H355" s="821"/>
      <c r="I355" s="822" t="str">
        <f t="shared" si="122"/>
        <v/>
      </c>
      <c r="J355" s="823"/>
      <c r="K355" s="822" t="str">
        <f t="shared" si="123"/>
        <v/>
      </c>
      <c r="L355" s="823"/>
      <c r="M355" s="822" t="str">
        <f t="shared" si="124"/>
        <v/>
      </c>
      <c r="N355" s="823"/>
      <c r="O355" s="822">
        <f>SUMIF(C252:D351,C355,O252:Q351)</f>
        <v>0</v>
      </c>
      <c r="P355" s="831"/>
      <c r="Q355" s="823"/>
      <c r="R355" s="420" t="str">
        <f t="shared" si="125"/>
        <v/>
      </c>
      <c r="S355" s="420"/>
      <c r="T355" s="420"/>
      <c r="U355" s="814" t="str">
        <f t="shared" si="117"/>
        <v/>
      </c>
      <c r="V355" s="357"/>
      <c r="W355" s="782"/>
      <c r="X355" s="524" t="str">
        <f t="shared" si="126"/>
        <v/>
      </c>
      <c r="Y355" s="524"/>
      <c r="Z355" s="822">
        <f t="shared" si="127"/>
        <v>0</v>
      </c>
      <c r="AA355" s="831"/>
      <c r="AB355" s="823"/>
      <c r="AC355" s="420" t="str">
        <f t="shared" si="128"/>
        <v/>
      </c>
      <c r="AD355" s="420"/>
      <c r="AE355" s="420"/>
      <c r="AF355" s="837" t="str">
        <f t="shared" si="112"/>
        <v/>
      </c>
      <c r="AG355" s="837"/>
      <c r="AH355" s="837"/>
      <c r="AI355" s="763" t="s">
        <v>322</v>
      </c>
      <c r="AJ355" s="815"/>
      <c r="AK355" s="816"/>
      <c r="AL355" s="822" t="str">
        <f t="shared" si="129"/>
        <v/>
      </c>
      <c r="AM355" s="831"/>
      <c r="AN355" s="823"/>
      <c r="AO355" s="822" t="str">
        <f t="shared" si="119"/>
        <v/>
      </c>
      <c r="AP355" s="831"/>
      <c r="AQ355" s="823"/>
      <c r="AR355" s="822" t="str">
        <f t="shared" si="120"/>
        <v/>
      </c>
      <c r="AS355" s="831"/>
      <c r="AT355" s="823"/>
    </row>
    <row r="356" spans="2:46" ht="18" customHeight="1">
      <c r="B356" s="806"/>
      <c r="C356" s="371" t="s">
        <v>327</v>
      </c>
      <c r="D356" s="412"/>
      <c r="E356" s="822">
        <f>SUMIF(C252:D351,C356,E252:F351)</f>
        <v>0</v>
      </c>
      <c r="F356" s="823"/>
      <c r="G356" s="820" t="str">
        <f t="shared" si="121"/>
        <v/>
      </c>
      <c r="H356" s="821"/>
      <c r="I356" s="822" t="str">
        <f t="shared" si="122"/>
        <v/>
      </c>
      <c r="J356" s="823"/>
      <c r="K356" s="822" t="str">
        <f t="shared" si="123"/>
        <v/>
      </c>
      <c r="L356" s="823"/>
      <c r="M356" s="822" t="str">
        <f t="shared" si="124"/>
        <v/>
      </c>
      <c r="N356" s="823"/>
      <c r="O356" s="822">
        <f>SUMIF(C252:D351,C356,O252:Q351)</f>
        <v>0</v>
      </c>
      <c r="P356" s="831"/>
      <c r="Q356" s="823"/>
      <c r="R356" s="420" t="str">
        <f t="shared" si="125"/>
        <v/>
      </c>
      <c r="S356" s="420"/>
      <c r="T356" s="420"/>
      <c r="U356" s="814" t="str">
        <f t="shared" si="117"/>
        <v/>
      </c>
      <c r="V356" s="357"/>
      <c r="W356" s="782"/>
      <c r="X356" s="524" t="str">
        <f t="shared" si="126"/>
        <v/>
      </c>
      <c r="Y356" s="524"/>
      <c r="Z356" s="822">
        <f t="shared" si="127"/>
        <v>0</v>
      </c>
      <c r="AA356" s="831"/>
      <c r="AB356" s="823"/>
      <c r="AC356" s="420" t="str">
        <f t="shared" si="128"/>
        <v/>
      </c>
      <c r="AD356" s="420"/>
      <c r="AE356" s="420"/>
      <c r="AF356" s="837" t="str">
        <f t="shared" si="112"/>
        <v/>
      </c>
      <c r="AG356" s="837"/>
      <c r="AH356" s="837"/>
      <c r="AI356" s="763" t="s">
        <v>323</v>
      </c>
      <c r="AJ356" s="815"/>
      <c r="AK356" s="816"/>
      <c r="AL356" s="822" t="str">
        <f t="shared" si="129"/>
        <v/>
      </c>
      <c r="AM356" s="831"/>
      <c r="AN356" s="823"/>
      <c r="AO356" s="822" t="str">
        <f t="shared" si="119"/>
        <v/>
      </c>
      <c r="AP356" s="831"/>
      <c r="AQ356" s="823"/>
      <c r="AR356" s="822" t="str">
        <f t="shared" si="120"/>
        <v/>
      </c>
      <c r="AS356" s="831"/>
      <c r="AT356" s="823"/>
    </row>
    <row r="357" spans="2:46" ht="18" customHeight="1">
      <c r="B357" s="806"/>
      <c r="C357" s="371" t="s">
        <v>328</v>
      </c>
      <c r="D357" s="412"/>
      <c r="E357" s="822">
        <f>SUMIF(C252:D351,C357,E252:F351)</f>
        <v>0</v>
      </c>
      <c r="F357" s="823"/>
      <c r="G357" s="820" t="str">
        <f t="shared" si="121"/>
        <v/>
      </c>
      <c r="H357" s="821"/>
      <c r="I357" s="822" t="str">
        <f t="shared" si="122"/>
        <v/>
      </c>
      <c r="J357" s="823"/>
      <c r="K357" s="822" t="str">
        <f t="shared" si="123"/>
        <v/>
      </c>
      <c r="L357" s="823"/>
      <c r="M357" s="822" t="str">
        <f t="shared" si="124"/>
        <v/>
      </c>
      <c r="N357" s="823"/>
      <c r="O357" s="822">
        <f>SUMIF(C252:D351,C357,O252:Q351)</f>
        <v>0</v>
      </c>
      <c r="P357" s="831"/>
      <c r="Q357" s="823"/>
      <c r="R357" s="420" t="str">
        <f t="shared" si="125"/>
        <v/>
      </c>
      <c r="S357" s="420"/>
      <c r="T357" s="420"/>
      <c r="U357" s="814" t="str">
        <f t="shared" si="117"/>
        <v/>
      </c>
      <c r="V357" s="357"/>
      <c r="W357" s="782"/>
      <c r="X357" s="524" t="str">
        <f t="shared" si="126"/>
        <v/>
      </c>
      <c r="Y357" s="524"/>
      <c r="Z357" s="822">
        <f t="shared" si="127"/>
        <v>0</v>
      </c>
      <c r="AA357" s="831"/>
      <c r="AB357" s="823"/>
      <c r="AC357" s="420" t="str">
        <f t="shared" si="128"/>
        <v/>
      </c>
      <c r="AD357" s="420"/>
      <c r="AE357" s="420"/>
      <c r="AF357" s="837" t="str">
        <f t="shared" si="112"/>
        <v/>
      </c>
      <c r="AG357" s="837"/>
      <c r="AH357" s="837"/>
      <c r="AI357" s="763" t="s">
        <v>319</v>
      </c>
      <c r="AJ357" s="815"/>
      <c r="AK357" s="816"/>
      <c r="AL357" s="822" t="str">
        <f t="shared" si="129"/>
        <v/>
      </c>
      <c r="AM357" s="831"/>
      <c r="AN357" s="823"/>
      <c r="AO357" s="822" t="str">
        <f t="shared" si="119"/>
        <v/>
      </c>
      <c r="AP357" s="831"/>
      <c r="AQ357" s="823"/>
      <c r="AR357" s="822" t="str">
        <f t="shared" si="120"/>
        <v/>
      </c>
      <c r="AS357" s="831"/>
      <c r="AT357" s="823"/>
    </row>
    <row r="358" spans="2:46" ht="18" customHeight="1">
      <c r="B358" s="806"/>
      <c r="C358" s="403" t="s">
        <v>329</v>
      </c>
      <c r="D358" s="403"/>
      <c r="E358" s="822">
        <f>SUMIF(C252:D351,C358,E252:F351)</f>
        <v>0</v>
      </c>
      <c r="F358" s="823"/>
      <c r="G358" s="820" t="str">
        <f t="shared" si="121"/>
        <v/>
      </c>
      <c r="H358" s="821"/>
      <c r="I358" s="822" t="str">
        <f t="shared" si="122"/>
        <v/>
      </c>
      <c r="J358" s="823"/>
      <c r="K358" s="822" t="str">
        <f t="shared" si="123"/>
        <v/>
      </c>
      <c r="L358" s="823"/>
      <c r="M358" s="822" t="str">
        <f t="shared" si="124"/>
        <v/>
      </c>
      <c r="N358" s="823"/>
      <c r="O358" s="822">
        <f>SUMIF(C252:D351,C358,O252:Q351)</f>
        <v>0</v>
      </c>
      <c r="P358" s="831"/>
      <c r="Q358" s="823"/>
      <c r="R358" s="420" t="str">
        <f t="shared" si="125"/>
        <v/>
      </c>
      <c r="S358" s="420"/>
      <c r="T358" s="420"/>
      <c r="U358" s="814" t="str">
        <f t="shared" si="117"/>
        <v/>
      </c>
      <c r="V358" s="357"/>
      <c r="W358" s="782"/>
      <c r="X358" s="524" t="str">
        <f t="shared" si="126"/>
        <v/>
      </c>
      <c r="Y358" s="524"/>
      <c r="Z358" s="822">
        <f t="shared" si="127"/>
        <v>0</v>
      </c>
      <c r="AA358" s="831"/>
      <c r="AB358" s="823"/>
      <c r="AC358" s="420" t="str">
        <f t="shared" si="128"/>
        <v/>
      </c>
      <c r="AD358" s="420"/>
      <c r="AE358" s="420"/>
      <c r="AF358" s="837" t="str">
        <f t="shared" si="112"/>
        <v/>
      </c>
      <c r="AG358" s="837"/>
      <c r="AH358" s="837"/>
      <c r="AI358" s="763" t="s">
        <v>320</v>
      </c>
      <c r="AJ358" s="815"/>
      <c r="AK358" s="816"/>
      <c r="AL358" s="822" t="str">
        <f t="shared" si="129"/>
        <v/>
      </c>
      <c r="AM358" s="831"/>
      <c r="AN358" s="823"/>
      <c r="AO358" s="822" t="str">
        <f t="shared" si="119"/>
        <v/>
      </c>
      <c r="AP358" s="831"/>
      <c r="AQ358" s="823"/>
      <c r="AR358" s="822" t="str">
        <f t="shared" si="120"/>
        <v/>
      </c>
      <c r="AS358" s="831"/>
      <c r="AT358" s="823"/>
    </row>
    <row r="359" spans="2:46" ht="18" customHeight="1">
      <c r="B359" s="806"/>
      <c r="C359" s="546" t="s">
        <v>330</v>
      </c>
      <c r="D359" s="546"/>
      <c r="E359" s="819">
        <f>SUMIF(C252:D351,C359,E252:F351)</f>
        <v>0</v>
      </c>
      <c r="F359" s="819"/>
      <c r="G359" s="820" t="str">
        <f t="shared" si="121"/>
        <v/>
      </c>
      <c r="H359" s="821"/>
      <c r="I359" s="822" t="str">
        <f t="shared" si="122"/>
        <v/>
      </c>
      <c r="J359" s="823"/>
      <c r="K359" s="822" t="str">
        <f t="shared" si="123"/>
        <v/>
      </c>
      <c r="L359" s="823"/>
      <c r="M359" s="822" t="str">
        <f t="shared" si="124"/>
        <v/>
      </c>
      <c r="N359" s="823"/>
      <c r="O359" s="824">
        <f>SUMIF(C252:D351,C359,O252:Q351)</f>
        <v>0</v>
      </c>
      <c r="P359" s="825"/>
      <c r="Q359" s="826"/>
      <c r="R359" s="827" t="str">
        <f>IF($E359=0,"",IF($O359=0,"",ROUND(($O359-$E359)/$E359*100,1)))</f>
        <v/>
      </c>
      <c r="S359" s="827"/>
      <c r="T359" s="827"/>
      <c r="U359" s="828" t="str">
        <f t="shared" si="117"/>
        <v/>
      </c>
      <c r="V359" s="829"/>
      <c r="W359" s="830"/>
      <c r="X359" s="524" t="str">
        <f t="shared" si="126"/>
        <v/>
      </c>
      <c r="Y359" s="524"/>
      <c r="Z359" s="822">
        <f t="shared" si="127"/>
        <v>0</v>
      </c>
      <c r="AA359" s="831"/>
      <c r="AB359" s="823"/>
      <c r="AC359" s="827" t="str">
        <f>IF($E359=0,"",IF($Z359=0,"",ROUND(($Z359-$E359)/$E359*100,1)))</f>
        <v/>
      </c>
      <c r="AD359" s="827"/>
      <c r="AE359" s="827"/>
      <c r="AF359" s="832" t="str">
        <f t="shared" si="112"/>
        <v/>
      </c>
      <c r="AG359" s="832"/>
      <c r="AH359" s="832"/>
      <c r="AI359" s="763" t="s">
        <v>318</v>
      </c>
      <c r="AJ359" s="815"/>
      <c r="AK359" s="816"/>
      <c r="AL359" s="822" t="str">
        <f t="shared" si="129"/>
        <v/>
      </c>
      <c r="AM359" s="831"/>
      <c r="AN359" s="823"/>
      <c r="AO359" s="822" t="str">
        <f t="shared" si="119"/>
        <v/>
      </c>
      <c r="AP359" s="831"/>
      <c r="AQ359" s="823"/>
      <c r="AR359" s="822" t="str">
        <f t="shared" si="120"/>
        <v/>
      </c>
      <c r="AS359" s="831"/>
      <c r="AT359" s="823"/>
    </row>
    <row r="360" spans="2:46" ht="18" customHeight="1">
      <c r="B360" s="295"/>
      <c r="C360" s="403" t="s">
        <v>70</v>
      </c>
      <c r="D360" s="403"/>
      <c r="E360" s="541" t="s">
        <v>253</v>
      </c>
      <c r="F360" s="479"/>
      <c r="G360" s="541" t="s">
        <v>92</v>
      </c>
      <c r="H360" s="403"/>
      <c r="I360" s="403" t="s">
        <v>74</v>
      </c>
      <c r="J360" s="403"/>
      <c r="K360" s="403"/>
      <c r="L360" s="403"/>
      <c r="M360" s="403" t="s">
        <v>75</v>
      </c>
      <c r="N360" s="403"/>
      <c r="O360" s="403"/>
      <c r="P360" s="403"/>
      <c r="Q360" s="403"/>
      <c r="R360" s="403"/>
      <c r="S360" s="403"/>
      <c r="T360" s="403"/>
      <c r="U360" s="403"/>
      <c r="V360" s="403"/>
      <c r="W360" s="403"/>
      <c r="X360" s="371" t="s">
        <v>76</v>
      </c>
      <c r="Y360" s="372"/>
      <c r="Z360" s="372"/>
      <c r="AA360" s="372"/>
      <c r="AB360" s="372"/>
      <c r="AC360" s="372"/>
      <c r="AD360" s="372"/>
      <c r="AE360" s="372"/>
      <c r="AF360" s="372"/>
      <c r="AG360" s="372"/>
      <c r="AH360" s="372"/>
      <c r="AI360" s="372"/>
      <c r="AJ360" s="372"/>
      <c r="AK360" s="372"/>
      <c r="AL360" s="372"/>
      <c r="AM360" s="372"/>
      <c r="AN360" s="372"/>
      <c r="AO360" s="372"/>
      <c r="AP360" s="372"/>
      <c r="AQ360" s="372"/>
      <c r="AR360" s="363"/>
      <c r="AS360" s="363"/>
      <c r="AT360" s="390"/>
    </row>
    <row r="361" spans="2:46" ht="18" customHeight="1">
      <c r="B361" s="296"/>
      <c r="C361" s="403"/>
      <c r="D361" s="403"/>
      <c r="E361" s="479"/>
      <c r="F361" s="479"/>
      <c r="G361" s="403"/>
      <c r="H361" s="403"/>
      <c r="I361" s="403" t="s">
        <v>248</v>
      </c>
      <c r="J361" s="403"/>
      <c r="K361" s="403" t="s">
        <v>77</v>
      </c>
      <c r="L361" s="403"/>
      <c r="M361" s="403" t="s">
        <v>77</v>
      </c>
      <c r="N361" s="403"/>
      <c r="O361" s="541" t="s">
        <v>252</v>
      </c>
      <c r="P361" s="479"/>
      <c r="Q361" s="479"/>
      <c r="R361" s="478" t="s">
        <v>244</v>
      </c>
      <c r="S361" s="478"/>
      <c r="T361" s="478"/>
      <c r="U361" s="478" t="s">
        <v>249</v>
      </c>
      <c r="V361" s="478"/>
      <c r="W361" s="478"/>
      <c r="X361" s="403" t="s">
        <v>77</v>
      </c>
      <c r="Y361" s="403"/>
      <c r="Z361" s="541" t="s">
        <v>89</v>
      </c>
      <c r="AA361" s="479"/>
      <c r="AB361" s="479"/>
      <c r="AC361" s="478" t="s">
        <v>153</v>
      </c>
      <c r="AD361" s="478"/>
      <c r="AE361" s="478"/>
      <c r="AF361" s="478" t="s">
        <v>250</v>
      </c>
      <c r="AG361" s="478"/>
      <c r="AH361" s="478"/>
      <c r="AI361" s="807" t="s">
        <v>70</v>
      </c>
      <c r="AJ361" s="808"/>
      <c r="AK361" s="809"/>
      <c r="AL361" s="541" t="s">
        <v>93</v>
      </c>
      <c r="AM361" s="479"/>
      <c r="AN361" s="479"/>
      <c r="AO361" s="478" t="s">
        <v>154</v>
      </c>
      <c r="AP361" s="478"/>
      <c r="AQ361" s="478"/>
      <c r="AR361" s="478" t="s">
        <v>251</v>
      </c>
      <c r="AS361" s="478"/>
      <c r="AT361" s="544"/>
    </row>
    <row r="362" spans="2:46" ht="18" customHeight="1" thickBot="1">
      <c r="B362" s="297"/>
      <c r="C362" s="434"/>
      <c r="D362" s="434"/>
      <c r="E362" s="842"/>
      <c r="F362" s="842"/>
      <c r="G362" s="434"/>
      <c r="H362" s="434"/>
      <c r="I362" s="434"/>
      <c r="J362" s="434"/>
      <c r="K362" s="434"/>
      <c r="L362" s="434"/>
      <c r="M362" s="434"/>
      <c r="N362" s="434"/>
      <c r="O362" s="842"/>
      <c r="P362" s="842"/>
      <c r="Q362" s="842"/>
      <c r="R362" s="843"/>
      <c r="S362" s="843"/>
      <c r="T362" s="843"/>
      <c r="U362" s="843"/>
      <c r="V362" s="843"/>
      <c r="W362" s="843"/>
      <c r="X362" s="434"/>
      <c r="Y362" s="434"/>
      <c r="Z362" s="842"/>
      <c r="AA362" s="842"/>
      <c r="AB362" s="842"/>
      <c r="AC362" s="843"/>
      <c r="AD362" s="843"/>
      <c r="AE362" s="843"/>
      <c r="AF362" s="843"/>
      <c r="AG362" s="843"/>
      <c r="AH362" s="843"/>
      <c r="AI362" s="844"/>
      <c r="AJ362" s="845"/>
      <c r="AK362" s="846"/>
      <c r="AL362" s="842"/>
      <c r="AM362" s="842"/>
      <c r="AN362" s="842"/>
      <c r="AO362" s="843"/>
      <c r="AP362" s="843"/>
      <c r="AQ362" s="843"/>
      <c r="AR362" s="843"/>
      <c r="AS362" s="843"/>
      <c r="AT362" s="848"/>
    </row>
  </sheetData>
  <sheetProtection formatCells="0"/>
  <protectedRanges>
    <protectedRange sqref="X135 D146:H152 D139:E139 I31:M32 H139 D135:U135 A137:AL137 D138:X138 A136:Y136" name="範囲1_21_21_22_22"/>
    <protectedRange sqref="I33:M33" name="範囲1_21_21_22_22_1"/>
    <protectedRange sqref="F139:G139" name="範囲1_21_21_22_22_1_1"/>
  </protectedRanges>
  <mergeCells count="2841">
    <mergeCell ref="Z342:AB342"/>
    <mergeCell ref="AC342:AE342"/>
    <mergeCell ref="AF342:AH342"/>
    <mergeCell ref="AI342:AK342"/>
    <mergeCell ref="AL342:AN342"/>
    <mergeCell ref="Z336:AB336"/>
    <mergeCell ref="AO342:AQ342"/>
    <mergeCell ref="A8:C8"/>
    <mergeCell ref="X360:AT360"/>
    <mergeCell ref="AR361:AT362"/>
    <mergeCell ref="AR335:AT335"/>
    <mergeCell ref="AR336:AT336"/>
    <mergeCell ref="AR337:AT337"/>
    <mergeCell ref="AR338:AT338"/>
    <mergeCell ref="AR339:AT339"/>
    <mergeCell ref="AR340:AT340"/>
    <mergeCell ref="AR341:AT341"/>
    <mergeCell ref="AR342:AT342"/>
    <mergeCell ref="AR343:AT343"/>
    <mergeCell ref="AR344:AT344"/>
    <mergeCell ref="AR345:AT345"/>
    <mergeCell ref="AR346:AT346"/>
    <mergeCell ref="AR347:AT347"/>
    <mergeCell ref="AR348:AT348"/>
    <mergeCell ref="AR349:AT349"/>
    <mergeCell ref="AR350:AT350"/>
    <mergeCell ref="AR351:AT351"/>
    <mergeCell ref="AL361:AN362"/>
    <mergeCell ref="AO361:AQ362"/>
    <mergeCell ref="AL338:AN338"/>
    <mergeCell ref="Z343:AB343"/>
    <mergeCell ref="AR357:AT357"/>
    <mergeCell ref="AR293:AT293"/>
    <mergeCell ref="AR294:AT294"/>
    <mergeCell ref="AR295:AT295"/>
    <mergeCell ref="AR296:AT296"/>
    <mergeCell ref="AR297:AT297"/>
    <mergeCell ref="AR298:AT298"/>
    <mergeCell ref="AR299:AT299"/>
    <mergeCell ref="AR300:AT300"/>
    <mergeCell ref="AR301:AT301"/>
    <mergeCell ref="AR302:AT302"/>
    <mergeCell ref="AR303:AT303"/>
    <mergeCell ref="AR304:AT304"/>
    <mergeCell ref="AR305:AT305"/>
    <mergeCell ref="AR306:AT306"/>
    <mergeCell ref="AR307:AT307"/>
    <mergeCell ref="AR308:AT308"/>
    <mergeCell ref="AR329:AT329"/>
    <mergeCell ref="AR324:AT324"/>
    <mergeCell ref="AR327:AT327"/>
    <mergeCell ref="AR325:AT325"/>
    <mergeCell ref="AR326:AT326"/>
    <mergeCell ref="AR359:AT359"/>
    <mergeCell ref="AR309:AT309"/>
    <mergeCell ref="AR310:AT310"/>
    <mergeCell ref="AR311:AT311"/>
    <mergeCell ref="AR312:AT312"/>
    <mergeCell ref="AR313:AT313"/>
    <mergeCell ref="AR314:AT314"/>
    <mergeCell ref="AR315:AT315"/>
    <mergeCell ref="AR316:AT316"/>
    <mergeCell ref="AR317:AT317"/>
    <mergeCell ref="AR318:AT318"/>
    <mergeCell ref="AR319:AT319"/>
    <mergeCell ref="AR320:AT320"/>
    <mergeCell ref="AR321:AT321"/>
    <mergeCell ref="AR322:AT322"/>
    <mergeCell ref="AR323:AT323"/>
    <mergeCell ref="AR328:AT328"/>
    <mergeCell ref="AR358:AT358"/>
    <mergeCell ref="AR330:AT330"/>
    <mergeCell ref="AR331:AT331"/>
    <mergeCell ref="AR332:AT332"/>
    <mergeCell ref="AR333:AT333"/>
    <mergeCell ref="AR334:AT334"/>
    <mergeCell ref="AR352:AT352"/>
    <mergeCell ref="AR353:AT353"/>
    <mergeCell ref="AR354:AT354"/>
    <mergeCell ref="AR355:AT355"/>
    <mergeCell ref="AR356:AT356"/>
    <mergeCell ref="AR276:AT276"/>
    <mergeCell ref="AR277:AT277"/>
    <mergeCell ref="AR278:AT278"/>
    <mergeCell ref="AR279:AT279"/>
    <mergeCell ref="AR280:AT280"/>
    <mergeCell ref="AR281:AT281"/>
    <mergeCell ref="AR282:AT282"/>
    <mergeCell ref="AR283:AT283"/>
    <mergeCell ref="AR284:AT284"/>
    <mergeCell ref="AR285:AT285"/>
    <mergeCell ref="AR286:AT286"/>
    <mergeCell ref="AR287:AT287"/>
    <mergeCell ref="AR288:AT288"/>
    <mergeCell ref="AR289:AT289"/>
    <mergeCell ref="AR290:AT290"/>
    <mergeCell ref="AR291:AT291"/>
    <mergeCell ref="AR292:AT292"/>
    <mergeCell ref="O343:Q343"/>
    <mergeCell ref="R343:T343"/>
    <mergeCell ref="U343:W343"/>
    <mergeCell ref="X343:Y343"/>
    <mergeCell ref="X249:AT249"/>
    <mergeCell ref="AR250:AT251"/>
    <mergeCell ref="AR252:AT252"/>
    <mergeCell ref="AR253:AT253"/>
    <mergeCell ref="AR254:AT254"/>
    <mergeCell ref="AR255:AT255"/>
    <mergeCell ref="AR256:AT256"/>
    <mergeCell ref="AR257:AT257"/>
    <mergeCell ref="AR258:AT258"/>
    <mergeCell ref="AR259:AT259"/>
    <mergeCell ref="AR260:AT260"/>
    <mergeCell ref="AR261:AT261"/>
    <mergeCell ref="AR262:AT262"/>
    <mergeCell ref="AR263:AT263"/>
    <mergeCell ref="AR264:AT264"/>
    <mergeCell ref="AR265:AT265"/>
    <mergeCell ref="AR266:AT266"/>
    <mergeCell ref="AL250:AN251"/>
    <mergeCell ref="AO250:AQ251"/>
    <mergeCell ref="AR267:AT267"/>
    <mergeCell ref="AR268:AT268"/>
    <mergeCell ref="AR269:AT269"/>
    <mergeCell ref="AR270:AT270"/>
    <mergeCell ref="AR271:AT271"/>
    <mergeCell ref="AR272:AT272"/>
    <mergeCell ref="AR273:AT273"/>
    <mergeCell ref="AR274:AT274"/>
    <mergeCell ref="AR275:AT275"/>
    <mergeCell ref="L2:R2"/>
    <mergeCell ref="C360:D362"/>
    <mergeCell ref="E360:F362"/>
    <mergeCell ref="G360:H362"/>
    <mergeCell ref="I360:L360"/>
    <mergeCell ref="M360:W360"/>
    <mergeCell ref="I361:J362"/>
    <mergeCell ref="K361:L362"/>
    <mergeCell ref="M361:N362"/>
    <mergeCell ref="O361:Q362"/>
    <mergeCell ref="R361:T362"/>
    <mergeCell ref="U361:W362"/>
    <mergeCell ref="X361:Y362"/>
    <mergeCell ref="Z361:AB362"/>
    <mergeCell ref="AC361:AE362"/>
    <mergeCell ref="AF361:AH362"/>
    <mergeCell ref="AI361:AK362"/>
    <mergeCell ref="X338:Y338"/>
    <mergeCell ref="Z338:AB338"/>
    <mergeCell ref="AC338:AE338"/>
    <mergeCell ref="AF338:AH338"/>
    <mergeCell ref="AI338:AK338"/>
    <mergeCell ref="C343:D343"/>
    <mergeCell ref="E343:F343"/>
    <mergeCell ref="G343:H343"/>
    <mergeCell ref="I343:J343"/>
    <mergeCell ref="K343:L343"/>
    <mergeCell ref="C338:D338"/>
    <mergeCell ref="E338:F338"/>
    <mergeCell ref="G338:H338"/>
    <mergeCell ref="I338:J338"/>
    <mergeCell ref="K338:L338"/>
    <mergeCell ref="M338:N338"/>
    <mergeCell ref="O338:Q338"/>
    <mergeCell ref="R338:T338"/>
    <mergeCell ref="U338:W338"/>
    <mergeCell ref="X339:Y339"/>
    <mergeCell ref="Z339:AB339"/>
    <mergeCell ref="AC339:AE339"/>
    <mergeCell ref="AF339:AH339"/>
    <mergeCell ref="AI339:AK339"/>
    <mergeCell ref="AL339:AN339"/>
    <mergeCell ref="AO339:AQ339"/>
    <mergeCell ref="C339:D339"/>
    <mergeCell ref="E339:F339"/>
    <mergeCell ref="G339:H339"/>
    <mergeCell ref="I339:J339"/>
    <mergeCell ref="K339:L339"/>
    <mergeCell ref="M339:N339"/>
    <mergeCell ref="O339:Q339"/>
    <mergeCell ref="R339:T339"/>
    <mergeCell ref="U339:W339"/>
    <mergeCell ref="AO338:AQ338"/>
    <mergeCell ref="C337:D337"/>
    <mergeCell ref="E337:F337"/>
    <mergeCell ref="G337:H337"/>
    <mergeCell ref="I337:J337"/>
    <mergeCell ref="K337:L337"/>
    <mergeCell ref="M337:N337"/>
    <mergeCell ref="O337:Q337"/>
    <mergeCell ref="R337:T337"/>
    <mergeCell ref="U337:W337"/>
    <mergeCell ref="X337:Y337"/>
    <mergeCell ref="Z337:AB337"/>
    <mergeCell ref="AC337:AE337"/>
    <mergeCell ref="AF337:AH337"/>
    <mergeCell ref="AI337:AK337"/>
    <mergeCell ref="AL337:AN337"/>
    <mergeCell ref="AO337:AQ337"/>
    <mergeCell ref="C336:D336"/>
    <mergeCell ref="E336:F336"/>
    <mergeCell ref="G336:H336"/>
    <mergeCell ref="I336:J336"/>
    <mergeCell ref="K336:L336"/>
    <mergeCell ref="M336:N336"/>
    <mergeCell ref="O336:Q336"/>
    <mergeCell ref="R336:T336"/>
    <mergeCell ref="U336:W336"/>
    <mergeCell ref="X336:Y336"/>
    <mergeCell ref="AF336:AH336"/>
    <mergeCell ref="AI336:AK336"/>
    <mergeCell ref="AL336:AN336"/>
    <mergeCell ref="AO336:AQ336"/>
    <mergeCell ref="AC336:AE336"/>
    <mergeCell ref="X334:Y334"/>
    <mergeCell ref="Z334:AB334"/>
    <mergeCell ref="AC334:AE334"/>
    <mergeCell ref="AF334:AH334"/>
    <mergeCell ref="AI334:AK334"/>
    <mergeCell ref="AL334:AN334"/>
    <mergeCell ref="AO334:AQ334"/>
    <mergeCell ref="C335:D335"/>
    <mergeCell ref="E335:F335"/>
    <mergeCell ref="G335:H335"/>
    <mergeCell ref="I335:J335"/>
    <mergeCell ref="K335:L335"/>
    <mergeCell ref="M335:N335"/>
    <mergeCell ref="O335:Q335"/>
    <mergeCell ref="R335:T335"/>
    <mergeCell ref="U335:W335"/>
    <mergeCell ref="X335:Y335"/>
    <mergeCell ref="Z335:AB335"/>
    <mergeCell ref="AC335:AE335"/>
    <mergeCell ref="AF335:AH335"/>
    <mergeCell ref="AI335:AK335"/>
    <mergeCell ref="AL335:AN335"/>
    <mergeCell ref="AO335:AQ335"/>
    <mergeCell ref="C334:D334"/>
    <mergeCell ref="E334:F334"/>
    <mergeCell ref="G334:H334"/>
    <mergeCell ref="I334:J334"/>
    <mergeCell ref="K334:L334"/>
    <mergeCell ref="M334:N334"/>
    <mergeCell ref="O334:Q334"/>
    <mergeCell ref="R334:T334"/>
    <mergeCell ref="U334:W334"/>
    <mergeCell ref="X332:Y332"/>
    <mergeCell ref="Z332:AB332"/>
    <mergeCell ref="AC332:AE332"/>
    <mergeCell ref="AF332:AH332"/>
    <mergeCell ref="AI332:AK332"/>
    <mergeCell ref="AL332:AN332"/>
    <mergeCell ref="AO332:AQ332"/>
    <mergeCell ref="C333:D333"/>
    <mergeCell ref="E333:F333"/>
    <mergeCell ref="G333:H333"/>
    <mergeCell ref="I333:J333"/>
    <mergeCell ref="K333:L333"/>
    <mergeCell ref="M333:N333"/>
    <mergeCell ref="O333:Q333"/>
    <mergeCell ref="R333:T333"/>
    <mergeCell ref="U333:W333"/>
    <mergeCell ref="X333:Y333"/>
    <mergeCell ref="Z333:AB333"/>
    <mergeCell ref="AC333:AE333"/>
    <mergeCell ref="AF333:AH333"/>
    <mergeCell ref="AI333:AK333"/>
    <mergeCell ref="AL333:AN333"/>
    <mergeCell ref="AO333:AQ333"/>
    <mergeCell ref="C332:D332"/>
    <mergeCell ref="E332:F332"/>
    <mergeCell ref="G332:H332"/>
    <mergeCell ref="I332:J332"/>
    <mergeCell ref="K332:L332"/>
    <mergeCell ref="M332:N332"/>
    <mergeCell ref="O332:Q332"/>
    <mergeCell ref="R332:T332"/>
    <mergeCell ref="U332:W332"/>
    <mergeCell ref="X330:Y330"/>
    <mergeCell ref="Z330:AB330"/>
    <mergeCell ref="AC330:AE330"/>
    <mergeCell ref="AF330:AH330"/>
    <mergeCell ref="AI330:AK330"/>
    <mergeCell ref="AL330:AN330"/>
    <mergeCell ref="AO330:AQ330"/>
    <mergeCell ref="C331:D331"/>
    <mergeCell ref="E331:F331"/>
    <mergeCell ref="G331:H331"/>
    <mergeCell ref="I331:J331"/>
    <mergeCell ref="K331:L331"/>
    <mergeCell ref="M331:N331"/>
    <mergeCell ref="O331:Q331"/>
    <mergeCell ref="R331:T331"/>
    <mergeCell ref="U331:W331"/>
    <mergeCell ref="X331:Y331"/>
    <mergeCell ref="Z331:AB331"/>
    <mergeCell ref="AC331:AE331"/>
    <mergeCell ref="AF331:AH331"/>
    <mergeCell ref="AI331:AK331"/>
    <mergeCell ref="AL331:AN331"/>
    <mergeCell ref="AO331:AQ331"/>
    <mergeCell ref="C330:D330"/>
    <mergeCell ref="E330:F330"/>
    <mergeCell ref="G330:H330"/>
    <mergeCell ref="I330:J330"/>
    <mergeCell ref="K330:L330"/>
    <mergeCell ref="M330:N330"/>
    <mergeCell ref="O330:Q330"/>
    <mergeCell ref="R330:T330"/>
    <mergeCell ref="U330:W330"/>
    <mergeCell ref="C329:D329"/>
    <mergeCell ref="E329:F329"/>
    <mergeCell ref="G329:H329"/>
    <mergeCell ref="I329:J329"/>
    <mergeCell ref="K329:L329"/>
    <mergeCell ref="M329:N329"/>
    <mergeCell ref="O329:Q329"/>
    <mergeCell ref="R329:T329"/>
    <mergeCell ref="U329:W329"/>
    <mergeCell ref="X329:Y329"/>
    <mergeCell ref="Z329:AB329"/>
    <mergeCell ref="AC329:AE329"/>
    <mergeCell ref="AF329:AH329"/>
    <mergeCell ref="AI329:AK329"/>
    <mergeCell ref="AL329:AN329"/>
    <mergeCell ref="AO329:AQ329"/>
    <mergeCell ref="E328:F328"/>
    <mergeCell ref="G328:H328"/>
    <mergeCell ref="I328:J328"/>
    <mergeCell ref="K328:L328"/>
    <mergeCell ref="M328:N328"/>
    <mergeCell ref="O328:Q328"/>
    <mergeCell ref="R328:T328"/>
    <mergeCell ref="U328:W328"/>
    <mergeCell ref="X328:Y328"/>
    <mergeCell ref="C327:D327"/>
    <mergeCell ref="E327:F327"/>
    <mergeCell ref="G327:H327"/>
    <mergeCell ref="I327:J327"/>
    <mergeCell ref="K327:L327"/>
    <mergeCell ref="M327:N327"/>
    <mergeCell ref="O327:Q327"/>
    <mergeCell ref="R327:T327"/>
    <mergeCell ref="U327:W327"/>
    <mergeCell ref="X327:Y327"/>
    <mergeCell ref="Z327:AB327"/>
    <mergeCell ref="AC327:AE327"/>
    <mergeCell ref="AF327:AH327"/>
    <mergeCell ref="AI327:AK327"/>
    <mergeCell ref="AL327:AN327"/>
    <mergeCell ref="AO327:AQ327"/>
    <mergeCell ref="C328:D328"/>
    <mergeCell ref="Z328:AB328"/>
    <mergeCell ref="AC328:AE328"/>
    <mergeCell ref="AF328:AH328"/>
    <mergeCell ref="AI328:AK328"/>
    <mergeCell ref="AL328:AN328"/>
    <mergeCell ref="AO328:AQ328"/>
    <mergeCell ref="X325:Y325"/>
    <mergeCell ref="Z325:AB325"/>
    <mergeCell ref="AC325:AE325"/>
    <mergeCell ref="AF325:AH325"/>
    <mergeCell ref="AI325:AK325"/>
    <mergeCell ref="AL325:AN325"/>
    <mergeCell ref="AO325:AQ325"/>
    <mergeCell ref="C326:D326"/>
    <mergeCell ref="E326:F326"/>
    <mergeCell ref="G326:H326"/>
    <mergeCell ref="I326:J326"/>
    <mergeCell ref="K326:L326"/>
    <mergeCell ref="M326:N326"/>
    <mergeCell ref="O326:Q326"/>
    <mergeCell ref="R326:T326"/>
    <mergeCell ref="U326:W326"/>
    <mergeCell ref="X326:Y326"/>
    <mergeCell ref="Z326:AB326"/>
    <mergeCell ref="AC326:AE326"/>
    <mergeCell ref="AF326:AH326"/>
    <mergeCell ref="AI326:AK326"/>
    <mergeCell ref="AL326:AN326"/>
    <mergeCell ref="AO326:AQ326"/>
    <mergeCell ref="C325:D325"/>
    <mergeCell ref="E325:F325"/>
    <mergeCell ref="G325:H325"/>
    <mergeCell ref="I325:J325"/>
    <mergeCell ref="K325:L325"/>
    <mergeCell ref="M325:N325"/>
    <mergeCell ref="O325:Q325"/>
    <mergeCell ref="R325:T325"/>
    <mergeCell ref="U325:W325"/>
    <mergeCell ref="X323:Y323"/>
    <mergeCell ref="Z323:AB323"/>
    <mergeCell ref="AC323:AE323"/>
    <mergeCell ref="AF323:AH323"/>
    <mergeCell ref="AI323:AK323"/>
    <mergeCell ref="AL323:AN323"/>
    <mergeCell ref="AO323:AQ323"/>
    <mergeCell ref="C324:D324"/>
    <mergeCell ref="E324:F324"/>
    <mergeCell ref="G324:H324"/>
    <mergeCell ref="I324:J324"/>
    <mergeCell ref="K324:L324"/>
    <mergeCell ref="M324:N324"/>
    <mergeCell ref="O324:Q324"/>
    <mergeCell ref="R324:T324"/>
    <mergeCell ref="U324:W324"/>
    <mergeCell ref="X324:Y324"/>
    <mergeCell ref="Z324:AB324"/>
    <mergeCell ref="AC324:AE324"/>
    <mergeCell ref="AF324:AH324"/>
    <mergeCell ref="AI324:AK324"/>
    <mergeCell ref="AL324:AN324"/>
    <mergeCell ref="AO324:AQ324"/>
    <mergeCell ref="C323:D323"/>
    <mergeCell ref="E323:F323"/>
    <mergeCell ref="G323:H323"/>
    <mergeCell ref="I323:J323"/>
    <mergeCell ref="K323:L323"/>
    <mergeCell ref="M323:N323"/>
    <mergeCell ref="O323:Q323"/>
    <mergeCell ref="R323:T323"/>
    <mergeCell ref="U323:W323"/>
    <mergeCell ref="X321:Y321"/>
    <mergeCell ref="Z321:AB321"/>
    <mergeCell ref="AC321:AE321"/>
    <mergeCell ref="AF321:AH321"/>
    <mergeCell ref="AI321:AK321"/>
    <mergeCell ref="AL321:AN321"/>
    <mergeCell ref="AO321:AQ321"/>
    <mergeCell ref="C322:D322"/>
    <mergeCell ref="E322:F322"/>
    <mergeCell ref="G322:H322"/>
    <mergeCell ref="I322:J322"/>
    <mergeCell ref="K322:L322"/>
    <mergeCell ref="M322:N322"/>
    <mergeCell ref="O322:Q322"/>
    <mergeCell ref="R322:T322"/>
    <mergeCell ref="U322:W322"/>
    <mergeCell ref="X322:Y322"/>
    <mergeCell ref="Z322:AB322"/>
    <mergeCell ref="AC322:AE322"/>
    <mergeCell ref="AF322:AH322"/>
    <mergeCell ref="AI322:AK322"/>
    <mergeCell ref="AL322:AN322"/>
    <mergeCell ref="AO322:AQ322"/>
    <mergeCell ref="C321:D321"/>
    <mergeCell ref="E321:F321"/>
    <mergeCell ref="G321:H321"/>
    <mergeCell ref="I321:J321"/>
    <mergeCell ref="K321:L321"/>
    <mergeCell ref="M321:N321"/>
    <mergeCell ref="O321:Q321"/>
    <mergeCell ref="R321:T321"/>
    <mergeCell ref="U321:W321"/>
    <mergeCell ref="X319:Y319"/>
    <mergeCell ref="Z319:AB319"/>
    <mergeCell ref="AC319:AE319"/>
    <mergeCell ref="AF319:AH319"/>
    <mergeCell ref="AI319:AK319"/>
    <mergeCell ref="AL319:AN319"/>
    <mergeCell ref="AO319:AQ319"/>
    <mergeCell ref="C320:D320"/>
    <mergeCell ref="E320:F320"/>
    <mergeCell ref="G320:H320"/>
    <mergeCell ref="I320:J320"/>
    <mergeCell ref="K320:L320"/>
    <mergeCell ref="M320:N320"/>
    <mergeCell ref="O320:Q320"/>
    <mergeCell ref="R320:T320"/>
    <mergeCell ref="U320:W320"/>
    <mergeCell ref="X320:Y320"/>
    <mergeCell ref="Z320:AB320"/>
    <mergeCell ref="AC320:AE320"/>
    <mergeCell ref="AF320:AH320"/>
    <mergeCell ref="AI320:AK320"/>
    <mergeCell ref="AL320:AN320"/>
    <mergeCell ref="AO320:AQ320"/>
    <mergeCell ref="C319:D319"/>
    <mergeCell ref="E319:F319"/>
    <mergeCell ref="G319:H319"/>
    <mergeCell ref="I319:J319"/>
    <mergeCell ref="K319:L319"/>
    <mergeCell ref="M319:N319"/>
    <mergeCell ref="O319:Q319"/>
    <mergeCell ref="R319:T319"/>
    <mergeCell ref="U319:W319"/>
    <mergeCell ref="X317:Y317"/>
    <mergeCell ref="Z317:AB317"/>
    <mergeCell ref="AC317:AE317"/>
    <mergeCell ref="AF317:AH317"/>
    <mergeCell ref="AI317:AK317"/>
    <mergeCell ref="AL317:AN317"/>
    <mergeCell ref="AO317:AQ317"/>
    <mergeCell ref="C318:D318"/>
    <mergeCell ref="E318:F318"/>
    <mergeCell ref="G318:H318"/>
    <mergeCell ref="I318:J318"/>
    <mergeCell ref="K318:L318"/>
    <mergeCell ref="M318:N318"/>
    <mergeCell ref="O318:Q318"/>
    <mergeCell ref="R318:T318"/>
    <mergeCell ref="U318:W318"/>
    <mergeCell ref="X318:Y318"/>
    <mergeCell ref="Z318:AB318"/>
    <mergeCell ref="AC318:AE318"/>
    <mergeCell ref="AF318:AH318"/>
    <mergeCell ref="AI318:AK318"/>
    <mergeCell ref="AL318:AN318"/>
    <mergeCell ref="AO318:AQ318"/>
    <mergeCell ref="C317:D317"/>
    <mergeCell ref="E317:F317"/>
    <mergeCell ref="G317:H317"/>
    <mergeCell ref="I317:J317"/>
    <mergeCell ref="K317:L317"/>
    <mergeCell ref="M317:N317"/>
    <mergeCell ref="O317:Q317"/>
    <mergeCell ref="R317:T317"/>
    <mergeCell ref="U317:W317"/>
    <mergeCell ref="X315:Y315"/>
    <mergeCell ref="Z315:AB315"/>
    <mergeCell ref="AC315:AE315"/>
    <mergeCell ref="AF315:AH315"/>
    <mergeCell ref="AI315:AK315"/>
    <mergeCell ref="AL315:AN315"/>
    <mergeCell ref="AO315:AQ315"/>
    <mergeCell ref="C316:D316"/>
    <mergeCell ref="E316:F316"/>
    <mergeCell ref="G316:H316"/>
    <mergeCell ref="I316:J316"/>
    <mergeCell ref="K316:L316"/>
    <mergeCell ref="M316:N316"/>
    <mergeCell ref="O316:Q316"/>
    <mergeCell ref="R316:T316"/>
    <mergeCell ref="U316:W316"/>
    <mergeCell ref="X316:Y316"/>
    <mergeCell ref="Z316:AB316"/>
    <mergeCell ref="AC316:AE316"/>
    <mergeCell ref="AF316:AH316"/>
    <mergeCell ref="AI316:AK316"/>
    <mergeCell ref="AL316:AN316"/>
    <mergeCell ref="AO316:AQ316"/>
    <mergeCell ref="C315:D315"/>
    <mergeCell ref="E315:F315"/>
    <mergeCell ref="G315:H315"/>
    <mergeCell ref="I315:J315"/>
    <mergeCell ref="K315:L315"/>
    <mergeCell ref="M315:N315"/>
    <mergeCell ref="O315:Q315"/>
    <mergeCell ref="R315:T315"/>
    <mergeCell ref="U315:W315"/>
    <mergeCell ref="X313:Y313"/>
    <mergeCell ref="Z313:AB313"/>
    <mergeCell ref="AC313:AE313"/>
    <mergeCell ref="AF313:AH313"/>
    <mergeCell ref="AI313:AK313"/>
    <mergeCell ref="AL313:AN313"/>
    <mergeCell ref="AO313:AQ313"/>
    <mergeCell ref="C314:D314"/>
    <mergeCell ref="E314:F314"/>
    <mergeCell ref="G314:H314"/>
    <mergeCell ref="I314:J314"/>
    <mergeCell ref="K314:L314"/>
    <mergeCell ref="M314:N314"/>
    <mergeCell ref="O314:Q314"/>
    <mergeCell ref="R314:T314"/>
    <mergeCell ref="U314:W314"/>
    <mergeCell ref="X314:Y314"/>
    <mergeCell ref="Z314:AB314"/>
    <mergeCell ref="AC314:AE314"/>
    <mergeCell ref="AF314:AH314"/>
    <mergeCell ref="AI314:AK314"/>
    <mergeCell ref="AL314:AN314"/>
    <mergeCell ref="AO314:AQ314"/>
    <mergeCell ref="C313:D313"/>
    <mergeCell ref="E313:F313"/>
    <mergeCell ref="G313:H313"/>
    <mergeCell ref="I313:J313"/>
    <mergeCell ref="K313:L313"/>
    <mergeCell ref="M313:N313"/>
    <mergeCell ref="O313:Q313"/>
    <mergeCell ref="R313:T313"/>
    <mergeCell ref="U313:W313"/>
    <mergeCell ref="X311:Y311"/>
    <mergeCell ref="Z311:AB311"/>
    <mergeCell ref="AC311:AE311"/>
    <mergeCell ref="AF311:AH311"/>
    <mergeCell ref="AI311:AK311"/>
    <mergeCell ref="AL311:AN311"/>
    <mergeCell ref="AO311:AQ311"/>
    <mergeCell ref="C312:D312"/>
    <mergeCell ref="E312:F312"/>
    <mergeCell ref="G312:H312"/>
    <mergeCell ref="I312:J312"/>
    <mergeCell ref="K312:L312"/>
    <mergeCell ref="M312:N312"/>
    <mergeCell ref="O312:Q312"/>
    <mergeCell ref="R312:T312"/>
    <mergeCell ref="U312:W312"/>
    <mergeCell ref="X312:Y312"/>
    <mergeCell ref="Z312:AB312"/>
    <mergeCell ref="AC312:AE312"/>
    <mergeCell ref="AF312:AH312"/>
    <mergeCell ref="AI312:AK312"/>
    <mergeCell ref="AL312:AN312"/>
    <mergeCell ref="AO312:AQ312"/>
    <mergeCell ref="C311:D311"/>
    <mergeCell ref="E311:F311"/>
    <mergeCell ref="G311:H311"/>
    <mergeCell ref="I311:J311"/>
    <mergeCell ref="K311:L311"/>
    <mergeCell ref="M311:N311"/>
    <mergeCell ref="O311:Q311"/>
    <mergeCell ref="R311:T311"/>
    <mergeCell ref="U311:W311"/>
    <mergeCell ref="X309:Y309"/>
    <mergeCell ref="Z309:AB309"/>
    <mergeCell ref="AC309:AE309"/>
    <mergeCell ref="AF309:AH309"/>
    <mergeCell ref="AI309:AK309"/>
    <mergeCell ref="AL309:AN309"/>
    <mergeCell ref="AO309:AQ309"/>
    <mergeCell ref="C310:D310"/>
    <mergeCell ref="E310:F310"/>
    <mergeCell ref="G310:H310"/>
    <mergeCell ref="I310:J310"/>
    <mergeCell ref="K310:L310"/>
    <mergeCell ref="M310:N310"/>
    <mergeCell ref="O310:Q310"/>
    <mergeCell ref="R310:T310"/>
    <mergeCell ref="U310:W310"/>
    <mergeCell ref="X310:Y310"/>
    <mergeCell ref="Z310:AB310"/>
    <mergeCell ref="AC310:AE310"/>
    <mergeCell ref="AF310:AH310"/>
    <mergeCell ref="AI310:AK310"/>
    <mergeCell ref="AL310:AN310"/>
    <mergeCell ref="AO310:AQ310"/>
    <mergeCell ref="C309:D309"/>
    <mergeCell ref="E309:F309"/>
    <mergeCell ref="G309:H309"/>
    <mergeCell ref="I309:J309"/>
    <mergeCell ref="K309:L309"/>
    <mergeCell ref="M309:N309"/>
    <mergeCell ref="O309:Q309"/>
    <mergeCell ref="R309:T309"/>
    <mergeCell ref="U309:W309"/>
    <mergeCell ref="X307:Y307"/>
    <mergeCell ref="Z307:AB307"/>
    <mergeCell ref="AC307:AE307"/>
    <mergeCell ref="AF307:AH307"/>
    <mergeCell ref="AI307:AK307"/>
    <mergeCell ref="AL307:AN307"/>
    <mergeCell ref="AO307:AQ307"/>
    <mergeCell ref="C308:D308"/>
    <mergeCell ref="E308:F308"/>
    <mergeCell ref="G308:H308"/>
    <mergeCell ref="I308:J308"/>
    <mergeCell ref="K308:L308"/>
    <mergeCell ref="M308:N308"/>
    <mergeCell ref="O308:Q308"/>
    <mergeCell ref="R308:T308"/>
    <mergeCell ref="U308:W308"/>
    <mergeCell ref="X308:Y308"/>
    <mergeCell ref="Z308:AB308"/>
    <mergeCell ref="AC308:AE308"/>
    <mergeCell ref="AF308:AH308"/>
    <mergeCell ref="AI308:AK308"/>
    <mergeCell ref="AL308:AN308"/>
    <mergeCell ref="AO308:AQ308"/>
    <mergeCell ref="C307:D307"/>
    <mergeCell ref="E307:F307"/>
    <mergeCell ref="G307:H307"/>
    <mergeCell ref="I307:J307"/>
    <mergeCell ref="K307:L307"/>
    <mergeCell ref="M307:N307"/>
    <mergeCell ref="O307:Q307"/>
    <mergeCell ref="R307:T307"/>
    <mergeCell ref="U307:W307"/>
    <mergeCell ref="X305:Y305"/>
    <mergeCell ref="Z305:AB305"/>
    <mergeCell ref="AC305:AE305"/>
    <mergeCell ref="AF305:AH305"/>
    <mergeCell ref="AI305:AK305"/>
    <mergeCell ref="AL305:AN305"/>
    <mergeCell ref="AO305:AQ305"/>
    <mergeCell ref="C306:D306"/>
    <mergeCell ref="E306:F306"/>
    <mergeCell ref="G306:H306"/>
    <mergeCell ref="I306:J306"/>
    <mergeCell ref="K306:L306"/>
    <mergeCell ref="M306:N306"/>
    <mergeCell ref="O306:Q306"/>
    <mergeCell ref="R306:T306"/>
    <mergeCell ref="U306:W306"/>
    <mergeCell ref="X306:Y306"/>
    <mergeCell ref="Z306:AB306"/>
    <mergeCell ref="AC306:AE306"/>
    <mergeCell ref="AF306:AH306"/>
    <mergeCell ref="AI306:AK306"/>
    <mergeCell ref="AL306:AN306"/>
    <mergeCell ref="AO306:AQ306"/>
    <mergeCell ref="C305:D305"/>
    <mergeCell ref="E305:F305"/>
    <mergeCell ref="G305:H305"/>
    <mergeCell ref="I305:J305"/>
    <mergeCell ref="K305:L305"/>
    <mergeCell ref="M305:N305"/>
    <mergeCell ref="O305:Q305"/>
    <mergeCell ref="R305:T305"/>
    <mergeCell ref="U305:W305"/>
    <mergeCell ref="X303:Y303"/>
    <mergeCell ref="Z303:AB303"/>
    <mergeCell ref="AC303:AE303"/>
    <mergeCell ref="AF303:AH303"/>
    <mergeCell ref="AI303:AK303"/>
    <mergeCell ref="AL303:AN303"/>
    <mergeCell ref="AO303:AQ303"/>
    <mergeCell ref="C304:D304"/>
    <mergeCell ref="E304:F304"/>
    <mergeCell ref="G304:H304"/>
    <mergeCell ref="I304:J304"/>
    <mergeCell ref="K304:L304"/>
    <mergeCell ref="M304:N304"/>
    <mergeCell ref="O304:Q304"/>
    <mergeCell ref="R304:T304"/>
    <mergeCell ref="U304:W304"/>
    <mergeCell ref="X304:Y304"/>
    <mergeCell ref="Z304:AB304"/>
    <mergeCell ref="AC304:AE304"/>
    <mergeCell ref="AF304:AH304"/>
    <mergeCell ref="AI304:AK304"/>
    <mergeCell ref="AL304:AN304"/>
    <mergeCell ref="AO304:AQ304"/>
    <mergeCell ref="C303:D303"/>
    <mergeCell ref="E303:F303"/>
    <mergeCell ref="G303:H303"/>
    <mergeCell ref="I303:J303"/>
    <mergeCell ref="K303:L303"/>
    <mergeCell ref="M303:N303"/>
    <mergeCell ref="O303:Q303"/>
    <mergeCell ref="R303:T303"/>
    <mergeCell ref="U303:W303"/>
    <mergeCell ref="X301:Y301"/>
    <mergeCell ref="Z301:AB301"/>
    <mergeCell ref="AC301:AE301"/>
    <mergeCell ref="AF301:AH301"/>
    <mergeCell ref="AI301:AK301"/>
    <mergeCell ref="AL301:AN301"/>
    <mergeCell ref="AO301:AQ301"/>
    <mergeCell ref="C302:D302"/>
    <mergeCell ref="E302:F302"/>
    <mergeCell ref="G302:H302"/>
    <mergeCell ref="I302:J302"/>
    <mergeCell ref="K302:L302"/>
    <mergeCell ref="M302:N302"/>
    <mergeCell ref="O302:Q302"/>
    <mergeCell ref="R302:T302"/>
    <mergeCell ref="U302:W302"/>
    <mergeCell ref="X302:Y302"/>
    <mergeCell ref="Z302:AB302"/>
    <mergeCell ref="AC302:AE302"/>
    <mergeCell ref="AF302:AH302"/>
    <mergeCell ref="AI302:AK302"/>
    <mergeCell ref="AL302:AN302"/>
    <mergeCell ref="AO302:AQ302"/>
    <mergeCell ref="C301:D301"/>
    <mergeCell ref="E301:F301"/>
    <mergeCell ref="G301:H301"/>
    <mergeCell ref="I301:J301"/>
    <mergeCell ref="K301:L301"/>
    <mergeCell ref="M301:N301"/>
    <mergeCell ref="O301:Q301"/>
    <mergeCell ref="R301:T301"/>
    <mergeCell ref="U301:W301"/>
    <mergeCell ref="C344:D344"/>
    <mergeCell ref="E344:F344"/>
    <mergeCell ref="G344:H344"/>
    <mergeCell ref="I344:J344"/>
    <mergeCell ref="K344:L344"/>
    <mergeCell ref="M344:N344"/>
    <mergeCell ref="O344:Q344"/>
    <mergeCell ref="R344:T344"/>
    <mergeCell ref="U344:W344"/>
    <mergeCell ref="X344:Y344"/>
    <mergeCell ref="Z344:AB344"/>
    <mergeCell ref="AC344:AE344"/>
    <mergeCell ref="AF344:AH344"/>
    <mergeCell ref="AI344:AK344"/>
    <mergeCell ref="AL344:AN344"/>
    <mergeCell ref="AO344:AQ344"/>
    <mergeCell ref="C342:D342"/>
    <mergeCell ref="E342:F342"/>
    <mergeCell ref="G342:H342"/>
    <mergeCell ref="I342:J342"/>
    <mergeCell ref="K342:L342"/>
    <mergeCell ref="M342:N342"/>
    <mergeCell ref="O342:Q342"/>
    <mergeCell ref="R342:T342"/>
    <mergeCell ref="U342:W342"/>
    <mergeCell ref="AC343:AE343"/>
    <mergeCell ref="AF343:AH343"/>
    <mergeCell ref="AI343:AK343"/>
    <mergeCell ref="AL343:AN343"/>
    <mergeCell ref="AO343:AQ343"/>
    <mergeCell ref="X342:Y342"/>
    <mergeCell ref="M343:N343"/>
    <mergeCell ref="X340:Y340"/>
    <mergeCell ref="Z340:AB340"/>
    <mergeCell ref="AC340:AE340"/>
    <mergeCell ref="AF340:AH340"/>
    <mergeCell ref="AI340:AK340"/>
    <mergeCell ref="AL340:AN340"/>
    <mergeCell ref="AO340:AQ340"/>
    <mergeCell ref="C341:D341"/>
    <mergeCell ref="E341:F341"/>
    <mergeCell ref="G341:H341"/>
    <mergeCell ref="I341:J341"/>
    <mergeCell ref="K341:L341"/>
    <mergeCell ref="M341:N341"/>
    <mergeCell ref="O341:Q341"/>
    <mergeCell ref="R341:T341"/>
    <mergeCell ref="U341:W341"/>
    <mergeCell ref="X341:Y341"/>
    <mergeCell ref="Z341:AB341"/>
    <mergeCell ref="AC341:AE341"/>
    <mergeCell ref="AF341:AH341"/>
    <mergeCell ref="AI341:AK341"/>
    <mergeCell ref="AL341:AN341"/>
    <mergeCell ref="AO341:AQ341"/>
    <mergeCell ref="C340:D340"/>
    <mergeCell ref="E340:F340"/>
    <mergeCell ref="G340:H340"/>
    <mergeCell ref="I340:J340"/>
    <mergeCell ref="K340:L340"/>
    <mergeCell ref="M340:N340"/>
    <mergeCell ref="O340:Q340"/>
    <mergeCell ref="R340:T340"/>
    <mergeCell ref="U340:W340"/>
    <mergeCell ref="X299:Y299"/>
    <mergeCell ref="Z299:AB299"/>
    <mergeCell ref="AC299:AE299"/>
    <mergeCell ref="AF299:AH299"/>
    <mergeCell ref="AI299:AK299"/>
    <mergeCell ref="AL299:AN299"/>
    <mergeCell ref="AO299:AQ299"/>
    <mergeCell ref="C300:D300"/>
    <mergeCell ref="E300:F300"/>
    <mergeCell ref="G300:H300"/>
    <mergeCell ref="I300:J300"/>
    <mergeCell ref="K300:L300"/>
    <mergeCell ref="M300:N300"/>
    <mergeCell ref="O300:Q300"/>
    <mergeCell ref="R300:T300"/>
    <mergeCell ref="U300:W300"/>
    <mergeCell ref="X300:Y300"/>
    <mergeCell ref="Z300:AB300"/>
    <mergeCell ref="AC300:AE300"/>
    <mergeCell ref="AF300:AH300"/>
    <mergeCell ref="AI300:AK300"/>
    <mergeCell ref="AL300:AN300"/>
    <mergeCell ref="AO300:AQ300"/>
    <mergeCell ref="C299:D299"/>
    <mergeCell ref="E299:F299"/>
    <mergeCell ref="G299:H299"/>
    <mergeCell ref="I299:J299"/>
    <mergeCell ref="K299:L299"/>
    <mergeCell ref="M299:N299"/>
    <mergeCell ref="O299:Q299"/>
    <mergeCell ref="R299:T299"/>
    <mergeCell ref="U299:W299"/>
    <mergeCell ref="X297:Y297"/>
    <mergeCell ref="Z297:AB297"/>
    <mergeCell ref="AC297:AE297"/>
    <mergeCell ref="AF297:AH297"/>
    <mergeCell ref="AI297:AK297"/>
    <mergeCell ref="AL297:AN297"/>
    <mergeCell ref="AO297:AQ297"/>
    <mergeCell ref="C298:D298"/>
    <mergeCell ref="E298:F298"/>
    <mergeCell ref="G298:H298"/>
    <mergeCell ref="I298:J298"/>
    <mergeCell ref="K298:L298"/>
    <mergeCell ref="M298:N298"/>
    <mergeCell ref="O298:Q298"/>
    <mergeCell ref="R298:T298"/>
    <mergeCell ref="U298:W298"/>
    <mergeCell ref="X298:Y298"/>
    <mergeCell ref="Z298:AB298"/>
    <mergeCell ref="AC298:AE298"/>
    <mergeCell ref="AF298:AH298"/>
    <mergeCell ref="AI298:AK298"/>
    <mergeCell ref="AL298:AN298"/>
    <mergeCell ref="AO298:AQ298"/>
    <mergeCell ref="C297:D297"/>
    <mergeCell ref="E297:F297"/>
    <mergeCell ref="G297:H297"/>
    <mergeCell ref="I297:J297"/>
    <mergeCell ref="K297:L297"/>
    <mergeCell ref="M297:N297"/>
    <mergeCell ref="O297:Q297"/>
    <mergeCell ref="R297:T297"/>
    <mergeCell ref="U297:W297"/>
    <mergeCell ref="X295:Y295"/>
    <mergeCell ref="Z295:AB295"/>
    <mergeCell ref="AC295:AE295"/>
    <mergeCell ref="AF295:AH295"/>
    <mergeCell ref="AI295:AK295"/>
    <mergeCell ref="AL295:AN295"/>
    <mergeCell ref="AO295:AQ295"/>
    <mergeCell ref="C296:D296"/>
    <mergeCell ref="E296:F296"/>
    <mergeCell ref="G296:H296"/>
    <mergeCell ref="I296:J296"/>
    <mergeCell ref="K296:L296"/>
    <mergeCell ref="M296:N296"/>
    <mergeCell ref="O296:Q296"/>
    <mergeCell ref="R296:T296"/>
    <mergeCell ref="U296:W296"/>
    <mergeCell ref="X296:Y296"/>
    <mergeCell ref="Z296:AB296"/>
    <mergeCell ref="AC296:AE296"/>
    <mergeCell ref="AF296:AH296"/>
    <mergeCell ref="AI296:AK296"/>
    <mergeCell ref="AL296:AN296"/>
    <mergeCell ref="AO296:AQ296"/>
    <mergeCell ref="C295:D295"/>
    <mergeCell ref="E295:F295"/>
    <mergeCell ref="G295:H295"/>
    <mergeCell ref="I295:J295"/>
    <mergeCell ref="K295:L295"/>
    <mergeCell ref="M295:N295"/>
    <mergeCell ref="O295:Q295"/>
    <mergeCell ref="R295:T295"/>
    <mergeCell ref="U295:W295"/>
    <mergeCell ref="X293:Y293"/>
    <mergeCell ref="Z293:AB293"/>
    <mergeCell ref="AC293:AE293"/>
    <mergeCell ref="AF293:AH293"/>
    <mergeCell ref="AI293:AK293"/>
    <mergeCell ref="AL293:AN293"/>
    <mergeCell ref="AO293:AQ293"/>
    <mergeCell ref="C294:D294"/>
    <mergeCell ref="E294:F294"/>
    <mergeCell ref="G294:H294"/>
    <mergeCell ref="I294:J294"/>
    <mergeCell ref="K294:L294"/>
    <mergeCell ref="M294:N294"/>
    <mergeCell ref="O294:Q294"/>
    <mergeCell ref="R294:T294"/>
    <mergeCell ref="U294:W294"/>
    <mergeCell ref="X294:Y294"/>
    <mergeCell ref="Z294:AB294"/>
    <mergeCell ref="AC294:AE294"/>
    <mergeCell ref="AF294:AH294"/>
    <mergeCell ref="AI294:AK294"/>
    <mergeCell ref="AL294:AN294"/>
    <mergeCell ref="AO294:AQ294"/>
    <mergeCell ref="C293:D293"/>
    <mergeCell ref="E293:F293"/>
    <mergeCell ref="G293:H293"/>
    <mergeCell ref="I293:J293"/>
    <mergeCell ref="K293:L293"/>
    <mergeCell ref="M293:N293"/>
    <mergeCell ref="O293:Q293"/>
    <mergeCell ref="R293:T293"/>
    <mergeCell ref="U293:W293"/>
    <mergeCell ref="X291:Y291"/>
    <mergeCell ref="Z291:AB291"/>
    <mergeCell ref="AC291:AE291"/>
    <mergeCell ref="AF291:AH291"/>
    <mergeCell ref="AI291:AK291"/>
    <mergeCell ref="AL291:AN291"/>
    <mergeCell ref="AO291:AQ291"/>
    <mergeCell ref="C292:D292"/>
    <mergeCell ref="E292:F292"/>
    <mergeCell ref="G292:H292"/>
    <mergeCell ref="I292:J292"/>
    <mergeCell ref="K292:L292"/>
    <mergeCell ref="M292:N292"/>
    <mergeCell ref="O292:Q292"/>
    <mergeCell ref="R292:T292"/>
    <mergeCell ref="U292:W292"/>
    <mergeCell ref="X292:Y292"/>
    <mergeCell ref="Z292:AB292"/>
    <mergeCell ref="AC292:AE292"/>
    <mergeCell ref="AF292:AH292"/>
    <mergeCell ref="AI292:AK292"/>
    <mergeCell ref="AL292:AN292"/>
    <mergeCell ref="AO292:AQ292"/>
    <mergeCell ref="C291:D291"/>
    <mergeCell ref="E291:F291"/>
    <mergeCell ref="G291:H291"/>
    <mergeCell ref="I291:J291"/>
    <mergeCell ref="K291:L291"/>
    <mergeCell ref="M291:N291"/>
    <mergeCell ref="O291:Q291"/>
    <mergeCell ref="R291:T291"/>
    <mergeCell ref="U291:W291"/>
    <mergeCell ref="Z289:AB289"/>
    <mergeCell ref="AC289:AE289"/>
    <mergeCell ref="AF289:AH289"/>
    <mergeCell ref="AI289:AK289"/>
    <mergeCell ref="AL289:AN289"/>
    <mergeCell ref="AO289:AQ289"/>
    <mergeCell ref="C290:D290"/>
    <mergeCell ref="E290:F290"/>
    <mergeCell ref="G290:H290"/>
    <mergeCell ref="I290:J290"/>
    <mergeCell ref="K290:L290"/>
    <mergeCell ref="M290:N290"/>
    <mergeCell ref="O290:Q290"/>
    <mergeCell ref="R290:T290"/>
    <mergeCell ref="U290:W290"/>
    <mergeCell ref="X290:Y290"/>
    <mergeCell ref="Z290:AB290"/>
    <mergeCell ref="AC290:AE290"/>
    <mergeCell ref="AF290:AH290"/>
    <mergeCell ref="AI290:AK290"/>
    <mergeCell ref="AL290:AN290"/>
    <mergeCell ref="AO290:AQ290"/>
    <mergeCell ref="E289:F289"/>
    <mergeCell ref="G289:H289"/>
    <mergeCell ref="I289:J289"/>
    <mergeCell ref="K289:L289"/>
    <mergeCell ref="M289:N289"/>
    <mergeCell ref="O289:Q289"/>
    <mergeCell ref="R289:T289"/>
    <mergeCell ref="U289:W289"/>
    <mergeCell ref="X289:Y289"/>
    <mergeCell ref="X285:Y285"/>
    <mergeCell ref="Z285:AB285"/>
    <mergeCell ref="AC285:AE285"/>
    <mergeCell ref="AF285:AH285"/>
    <mergeCell ref="AI285:AK285"/>
    <mergeCell ref="AL285:AN285"/>
    <mergeCell ref="AO285:AQ285"/>
    <mergeCell ref="C288:D288"/>
    <mergeCell ref="E288:F288"/>
    <mergeCell ref="G288:H288"/>
    <mergeCell ref="I288:J288"/>
    <mergeCell ref="K288:L288"/>
    <mergeCell ref="M288:N288"/>
    <mergeCell ref="O288:Q288"/>
    <mergeCell ref="R288:T288"/>
    <mergeCell ref="U288:W288"/>
    <mergeCell ref="X288:Y288"/>
    <mergeCell ref="Z288:AB288"/>
    <mergeCell ref="AC288:AE288"/>
    <mergeCell ref="AF288:AH288"/>
    <mergeCell ref="AI288:AK288"/>
    <mergeCell ref="AL288:AN288"/>
    <mergeCell ref="AO288:AQ288"/>
    <mergeCell ref="C285:D285"/>
    <mergeCell ref="E285:F285"/>
    <mergeCell ref="G285:H285"/>
    <mergeCell ref="I285:J285"/>
    <mergeCell ref="K285:L285"/>
    <mergeCell ref="M285:N285"/>
    <mergeCell ref="O285:Q285"/>
    <mergeCell ref="R285:T285"/>
    <mergeCell ref="U285:W285"/>
    <mergeCell ref="X283:Y283"/>
    <mergeCell ref="Z283:AB283"/>
    <mergeCell ref="AC283:AE283"/>
    <mergeCell ref="AF283:AH283"/>
    <mergeCell ref="AI283:AK283"/>
    <mergeCell ref="AL283:AN283"/>
    <mergeCell ref="AO283:AQ283"/>
    <mergeCell ref="C284:D284"/>
    <mergeCell ref="E284:F284"/>
    <mergeCell ref="G284:H284"/>
    <mergeCell ref="I284:J284"/>
    <mergeCell ref="K284:L284"/>
    <mergeCell ref="M284:N284"/>
    <mergeCell ref="O284:Q284"/>
    <mergeCell ref="R284:T284"/>
    <mergeCell ref="U284:W284"/>
    <mergeCell ref="X284:Y284"/>
    <mergeCell ref="Z284:AB284"/>
    <mergeCell ref="AC284:AE284"/>
    <mergeCell ref="AF284:AH284"/>
    <mergeCell ref="AI284:AK284"/>
    <mergeCell ref="AL284:AN284"/>
    <mergeCell ref="AO284:AQ284"/>
    <mergeCell ref="C283:D283"/>
    <mergeCell ref="E283:F283"/>
    <mergeCell ref="G283:H283"/>
    <mergeCell ref="I283:J283"/>
    <mergeCell ref="K283:L283"/>
    <mergeCell ref="M283:N283"/>
    <mergeCell ref="O283:Q283"/>
    <mergeCell ref="R283:T283"/>
    <mergeCell ref="U283:W283"/>
    <mergeCell ref="X281:Y281"/>
    <mergeCell ref="Z281:AB281"/>
    <mergeCell ref="AC281:AE281"/>
    <mergeCell ref="AF281:AH281"/>
    <mergeCell ref="AI281:AK281"/>
    <mergeCell ref="AL281:AN281"/>
    <mergeCell ref="AO281:AQ281"/>
    <mergeCell ref="C282:D282"/>
    <mergeCell ref="E282:F282"/>
    <mergeCell ref="G282:H282"/>
    <mergeCell ref="I282:J282"/>
    <mergeCell ref="K282:L282"/>
    <mergeCell ref="M282:N282"/>
    <mergeCell ref="O282:Q282"/>
    <mergeCell ref="R282:T282"/>
    <mergeCell ref="U282:W282"/>
    <mergeCell ref="X282:Y282"/>
    <mergeCell ref="Z282:AB282"/>
    <mergeCell ref="AC282:AE282"/>
    <mergeCell ref="AF282:AH282"/>
    <mergeCell ref="AI282:AK282"/>
    <mergeCell ref="AL282:AN282"/>
    <mergeCell ref="AO282:AQ282"/>
    <mergeCell ref="C281:D281"/>
    <mergeCell ref="E281:F281"/>
    <mergeCell ref="G281:H281"/>
    <mergeCell ref="I281:J281"/>
    <mergeCell ref="K281:L281"/>
    <mergeCell ref="M281:N281"/>
    <mergeCell ref="O281:Q281"/>
    <mergeCell ref="R281:T281"/>
    <mergeCell ref="U281:W281"/>
    <mergeCell ref="X279:Y279"/>
    <mergeCell ref="Z279:AB279"/>
    <mergeCell ref="AC279:AE279"/>
    <mergeCell ref="AF279:AH279"/>
    <mergeCell ref="AI279:AK279"/>
    <mergeCell ref="AL279:AN279"/>
    <mergeCell ref="AO279:AQ279"/>
    <mergeCell ref="C280:D280"/>
    <mergeCell ref="E280:F280"/>
    <mergeCell ref="G280:H280"/>
    <mergeCell ref="I280:J280"/>
    <mergeCell ref="K280:L280"/>
    <mergeCell ref="M280:N280"/>
    <mergeCell ref="O280:Q280"/>
    <mergeCell ref="R280:T280"/>
    <mergeCell ref="U280:W280"/>
    <mergeCell ref="X280:Y280"/>
    <mergeCell ref="Z280:AB280"/>
    <mergeCell ref="AC280:AE280"/>
    <mergeCell ref="AF280:AH280"/>
    <mergeCell ref="AI280:AK280"/>
    <mergeCell ref="AL280:AN280"/>
    <mergeCell ref="AO280:AQ280"/>
    <mergeCell ref="C279:D279"/>
    <mergeCell ref="E279:F279"/>
    <mergeCell ref="G279:H279"/>
    <mergeCell ref="I279:J279"/>
    <mergeCell ref="K279:L279"/>
    <mergeCell ref="M279:N279"/>
    <mergeCell ref="O279:Q279"/>
    <mergeCell ref="R279:T279"/>
    <mergeCell ref="U279:W279"/>
    <mergeCell ref="X277:Y277"/>
    <mergeCell ref="Z277:AB277"/>
    <mergeCell ref="AC277:AE277"/>
    <mergeCell ref="AF277:AH277"/>
    <mergeCell ref="AI277:AK277"/>
    <mergeCell ref="AL277:AN277"/>
    <mergeCell ref="AO277:AQ277"/>
    <mergeCell ref="C278:D278"/>
    <mergeCell ref="E278:F278"/>
    <mergeCell ref="G278:H278"/>
    <mergeCell ref="I278:J278"/>
    <mergeCell ref="K278:L278"/>
    <mergeCell ref="M278:N278"/>
    <mergeCell ref="O278:Q278"/>
    <mergeCell ref="R278:T278"/>
    <mergeCell ref="U278:W278"/>
    <mergeCell ref="X278:Y278"/>
    <mergeCell ref="Z278:AB278"/>
    <mergeCell ref="AC278:AE278"/>
    <mergeCell ref="AF278:AH278"/>
    <mergeCell ref="AI278:AK278"/>
    <mergeCell ref="AL278:AN278"/>
    <mergeCell ref="AO278:AQ278"/>
    <mergeCell ref="C277:D277"/>
    <mergeCell ref="E277:F277"/>
    <mergeCell ref="G277:H277"/>
    <mergeCell ref="I277:J277"/>
    <mergeCell ref="K277:L277"/>
    <mergeCell ref="M277:N277"/>
    <mergeCell ref="O277:Q277"/>
    <mergeCell ref="R277:T277"/>
    <mergeCell ref="U277:W277"/>
    <mergeCell ref="X275:Y275"/>
    <mergeCell ref="Z275:AB275"/>
    <mergeCell ref="AC275:AE275"/>
    <mergeCell ref="AF275:AH275"/>
    <mergeCell ref="AI275:AK275"/>
    <mergeCell ref="AL275:AN275"/>
    <mergeCell ref="AO275:AQ275"/>
    <mergeCell ref="C276:D276"/>
    <mergeCell ref="E276:F276"/>
    <mergeCell ref="G276:H276"/>
    <mergeCell ref="I276:J276"/>
    <mergeCell ref="K276:L276"/>
    <mergeCell ref="M276:N276"/>
    <mergeCell ref="O276:Q276"/>
    <mergeCell ref="R276:T276"/>
    <mergeCell ref="U276:W276"/>
    <mergeCell ref="X276:Y276"/>
    <mergeCell ref="Z276:AB276"/>
    <mergeCell ref="AC276:AE276"/>
    <mergeCell ref="AF276:AH276"/>
    <mergeCell ref="AI276:AK276"/>
    <mergeCell ref="AL276:AN276"/>
    <mergeCell ref="AO276:AQ276"/>
    <mergeCell ref="C275:D275"/>
    <mergeCell ref="E275:F275"/>
    <mergeCell ref="G275:H275"/>
    <mergeCell ref="I275:J275"/>
    <mergeCell ref="K275:L275"/>
    <mergeCell ref="M275:N275"/>
    <mergeCell ref="O275:Q275"/>
    <mergeCell ref="R275:T275"/>
    <mergeCell ref="U275:W275"/>
    <mergeCell ref="AC273:AE273"/>
    <mergeCell ref="AF273:AH273"/>
    <mergeCell ref="AI273:AK273"/>
    <mergeCell ref="AL273:AN273"/>
    <mergeCell ref="AO273:AQ273"/>
    <mergeCell ref="C274:D274"/>
    <mergeCell ref="E274:F274"/>
    <mergeCell ref="G274:H274"/>
    <mergeCell ref="I274:J274"/>
    <mergeCell ref="K274:L274"/>
    <mergeCell ref="M274:N274"/>
    <mergeCell ref="O274:Q274"/>
    <mergeCell ref="R274:T274"/>
    <mergeCell ref="U274:W274"/>
    <mergeCell ref="X274:Y274"/>
    <mergeCell ref="Z274:AB274"/>
    <mergeCell ref="AC274:AE274"/>
    <mergeCell ref="AF274:AH274"/>
    <mergeCell ref="AI274:AK274"/>
    <mergeCell ref="AL274:AN274"/>
    <mergeCell ref="AO274:AQ274"/>
    <mergeCell ref="G273:H273"/>
    <mergeCell ref="I273:J273"/>
    <mergeCell ref="K273:L273"/>
    <mergeCell ref="M273:N273"/>
    <mergeCell ref="O273:Q273"/>
    <mergeCell ref="R273:T273"/>
    <mergeCell ref="U273:W273"/>
    <mergeCell ref="X273:Y273"/>
    <mergeCell ref="Z273:AB273"/>
    <mergeCell ref="X354:Y354"/>
    <mergeCell ref="Z354:AB354"/>
    <mergeCell ref="AC354:AE354"/>
    <mergeCell ref="AF354:AH354"/>
    <mergeCell ref="AI354:AK354"/>
    <mergeCell ref="AL354:AN354"/>
    <mergeCell ref="AO354:AQ354"/>
    <mergeCell ref="C355:D355"/>
    <mergeCell ref="E355:F355"/>
    <mergeCell ref="G355:H355"/>
    <mergeCell ref="I355:J355"/>
    <mergeCell ref="K355:L355"/>
    <mergeCell ref="M355:N355"/>
    <mergeCell ref="O355:Q355"/>
    <mergeCell ref="R355:T355"/>
    <mergeCell ref="U355:W355"/>
    <mergeCell ref="X355:Y355"/>
    <mergeCell ref="Z355:AB355"/>
    <mergeCell ref="AC355:AE355"/>
    <mergeCell ref="AF355:AH355"/>
    <mergeCell ref="AI355:AK355"/>
    <mergeCell ref="AL355:AN355"/>
    <mergeCell ref="AO355:AQ355"/>
    <mergeCell ref="C354:D354"/>
    <mergeCell ref="E354:F354"/>
    <mergeCell ref="G354:H354"/>
    <mergeCell ref="I354:J354"/>
    <mergeCell ref="K354:L354"/>
    <mergeCell ref="M354:N354"/>
    <mergeCell ref="O354:Q354"/>
    <mergeCell ref="R354:T354"/>
    <mergeCell ref="U354:W354"/>
    <mergeCell ref="X352:Y352"/>
    <mergeCell ref="Z352:AB352"/>
    <mergeCell ref="AC352:AE352"/>
    <mergeCell ref="AF352:AH352"/>
    <mergeCell ref="AI352:AK352"/>
    <mergeCell ref="AL352:AN352"/>
    <mergeCell ref="AO352:AQ352"/>
    <mergeCell ref="C353:D353"/>
    <mergeCell ref="E353:F353"/>
    <mergeCell ref="G353:H353"/>
    <mergeCell ref="I353:J353"/>
    <mergeCell ref="K353:L353"/>
    <mergeCell ref="M353:N353"/>
    <mergeCell ref="O353:Q353"/>
    <mergeCell ref="R353:T353"/>
    <mergeCell ref="U353:W353"/>
    <mergeCell ref="X353:Y353"/>
    <mergeCell ref="Z353:AB353"/>
    <mergeCell ref="AC353:AE353"/>
    <mergeCell ref="AF353:AH353"/>
    <mergeCell ref="AI353:AK353"/>
    <mergeCell ref="AL353:AN353"/>
    <mergeCell ref="AO353:AQ353"/>
    <mergeCell ref="C352:D352"/>
    <mergeCell ref="E352:F352"/>
    <mergeCell ref="G352:H352"/>
    <mergeCell ref="I352:J352"/>
    <mergeCell ref="K352:L352"/>
    <mergeCell ref="M352:N352"/>
    <mergeCell ref="O352:Q352"/>
    <mergeCell ref="R352:T352"/>
    <mergeCell ref="U352:W352"/>
    <mergeCell ref="X350:Y350"/>
    <mergeCell ref="Z350:AB350"/>
    <mergeCell ref="AC350:AE350"/>
    <mergeCell ref="AF350:AH350"/>
    <mergeCell ref="AI350:AK350"/>
    <mergeCell ref="AL350:AN350"/>
    <mergeCell ref="AO350:AQ350"/>
    <mergeCell ref="C351:D351"/>
    <mergeCell ref="E351:F351"/>
    <mergeCell ref="G351:H351"/>
    <mergeCell ref="I351:J351"/>
    <mergeCell ref="K351:L351"/>
    <mergeCell ref="M351:N351"/>
    <mergeCell ref="O351:Q351"/>
    <mergeCell ref="R351:T351"/>
    <mergeCell ref="U351:W351"/>
    <mergeCell ref="X351:Y351"/>
    <mergeCell ref="Z351:AB351"/>
    <mergeCell ref="AC351:AE351"/>
    <mergeCell ref="AF351:AH351"/>
    <mergeCell ref="AI351:AK351"/>
    <mergeCell ref="AL351:AN351"/>
    <mergeCell ref="AO351:AQ351"/>
    <mergeCell ref="C350:D350"/>
    <mergeCell ref="E350:F350"/>
    <mergeCell ref="G350:H350"/>
    <mergeCell ref="I350:J350"/>
    <mergeCell ref="K350:L350"/>
    <mergeCell ref="M350:N350"/>
    <mergeCell ref="O350:Q350"/>
    <mergeCell ref="R350:T350"/>
    <mergeCell ref="U350:W350"/>
    <mergeCell ref="X348:Y348"/>
    <mergeCell ref="Z348:AB348"/>
    <mergeCell ref="AC348:AE348"/>
    <mergeCell ref="AF348:AH348"/>
    <mergeCell ref="AI348:AK348"/>
    <mergeCell ref="AL348:AN348"/>
    <mergeCell ref="AO348:AQ348"/>
    <mergeCell ref="C349:D349"/>
    <mergeCell ref="E349:F349"/>
    <mergeCell ref="G349:H349"/>
    <mergeCell ref="I349:J349"/>
    <mergeCell ref="K349:L349"/>
    <mergeCell ref="M349:N349"/>
    <mergeCell ref="O349:Q349"/>
    <mergeCell ref="R349:T349"/>
    <mergeCell ref="U349:W349"/>
    <mergeCell ref="X349:Y349"/>
    <mergeCell ref="Z349:AB349"/>
    <mergeCell ref="AC349:AE349"/>
    <mergeCell ref="AF349:AH349"/>
    <mergeCell ref="AI349:AK349"/>
    <mergeCell ref="AL349:AN349"/>
    <mergeCell ref="AO349:AQ349"/>
    <mergeCell ref="C348:D348"/>
    <mergeCell ref="E348:F348"/>
    <mergeCell ref="G348:H348"/>
    <mergeCell ref="I348:J348"/>
    <mergeCell ref="K348:L348"/>
    <mergeCell ref="M348:N348"/>
    <mergeCell ref="O348:Q348"/>
    <mergeCell ref="R348:T348"/>
    <mergeCell ref="U348:W348"/>
    <mergeCell ref="X346:Y346"/>
    <mergeCell ref="Z346:AB346"/>
    <mergeCell ref="AC346:AE346"/>
    <mergeCell ref="AF346:AH346"/>
    <mergeCell ref="AI346:AK346"/>
    <mergeCell ref="AL346:AN346"/>
    <mergeCell ref="AO346:AQ346"/>
    <mergeCell ref="C347:D347"/>
    <mergeCell ref="E347:F347"/>
    <mergeCell ref="G347:H347"/>
    <mergeCell ref="I347:J347"/>
    <mergeCell ref="K347:L347"/>
    <mergeCell ref="M347:N347"/>
    <mergeCell ref="O347:Q347"/>
    <mergeCell ref="R347:T347"/>
    <mergeCell ref="U347:W347"/>
    <mergeCell ref="X347:Y347"/>
    <mergeCell ref="Z347:AB347"/>
    <mergeCell ref="AC347:AE347"/>
    <mergeCell ref="AF347:AH347"/>
    <mergeCell ref="AI347:AK347"/>
    <mergeCell ref="AL347:AN347"/>
    <mergeCell ref="AO347:AQ347"/>
    <mergeCell ref="C346:D346"/>
    <mergeCell ref="E346:F346"/>
    <mergeCell ref="G346:H346"/>
    <mergeCell ref="I346:J346"/>
    <mergeCell ref="K346:L346"/>
    <mergeCell ref="M346:N346"/>
    <mergeCell ref="O346:Q346"/>
    <mergeCell ref="R346:T346"/>
    <mergeCell ref="U346:W346"/>
    <mergeCell ref="X287:Y287"/>
    <mergeCell ref="Z287:AB287"/>
    <mergeCell ref="AC287:AE287"/>
    <mergeCell ref="AF287:AH287"/>
    <mergeCell ref="AI287:AK287"/>
    <mergeCell ref="AL287:AN287"/>
    <mergeCell ref="AO287:AQ287"/>
    <mergeCell ref="C345:D345"/>
    <mergeCell ref="E345:F345"/>
    <mergeCell ref="G345:H345"/>
    <mergeCell ref="I345:J345"/>
    <mergeCell ref="K345:L345"/>
    <mergeCell ref="M345:N345"/>
    <mergeCell ref="O345:Q345"/>
    <mergeCell ref="R345:T345"/>
    <mergeCell ref="U345:W345"/>
    <mergeCell ref="X345:Y345"/>
    <mergeCell ref="Z345:AB345"/>
    <mergeCell ref="AC345:AE345"/>
    <mergeCell ref="AF345:AH345"/>
    <mergeCell ref="AI345:AK345"/>
    <mergeCell ref="AL345:AN345"/>
    <mergeCell ref="AO345:AQ345"/>
    <mergeCell ref="C289:D289"/>
    <mergeCell ref="C287:D287"/>
    <mergeCell ref="E287:F287"/>
    <mergeCell ref="G287:H287"/>
    <mergeCell ref="I287:J287"/>
    <mergeCell ref="K287:L287"/>
    <mergeCell ref="M287:N287"/>
    <mergeCell ref="O287:Q287"/>
    <mergeCell ref="R287:T287"/>
    <mergeCell ref="U287:W287"/>
    <mergeCell ref="Z272:AB272"/>
    <mergeCell ref="AC272:AE272"/>
    <mergeCell ref="AF272:AH272"/>
    <mergeCell ref="AI272:AK272"/>
    <mergeCell ref="AL272:AN272"/>
    <mergeCell ref="AO272:AQ272"/>
    <mergeCell ref="C286:D286"/>
    <mergeCell ref="E286:F286"/>
    <mergeCell ref="G286:H286"/>
    <mergeCell ref="I286:J286"/>
    <mergeCell ref="K286:L286"/>
    <mergeCell ref="M286:N286"/>
    <mergeCell ref="O286:Q286"/>
    <mergeCell ref="R286:T286"/>
    <mergeCell ref="U286:W286"/>
    <mergeCell ref="X286:Y286"/>
    <mergeCell ref="Z286:AB286"/>
    <mergeCell ref="AC286:AE286"/>
    <mergeCell ref="AF286:AH286"/>
    <mergeCell ref="AI286:AK286"/>
    <mergeCell ref="AL286:AN286"/>
    <mergeCell ref="AO286:AQ286"/>
    <mergeCell ref="C273:D273"/>
    <mergeCell ref="E273:F273"/>
    <mergeCell ref="E272:F272"/>
    <mergeCell ref="G272:H272"/>
    <mergeCell ref="I272:J272"/>
    <mergeCell ref="K272:L272"/>
    <mergeCell ref="M272:N272"/>
    <mergeCell ref="O272:Q272"/>
    <mergeCell ref="R272:T272"/>
    <mergeCell ref="U272:W272"/>
    <mergeCell ref="X272:Y272"/>
    <mergeCell ref="X358:Y358"/>
    <mergeCell ref="Z358:AB358"/>
    <mergeCell ref="AC358:AE358"/>
    <mergeCell ref="AF358:AH358"/>
    <mergeCell ref="AI358:AK358"/>
    <mergeCell ref="AL358:AN358"/>
    <mergeCell ref="AO358:AQ358"/>
    <mergeCell ref="C271:D271"/>
    <mergeCell ref="E271:F271"/>
    <mergeCell ref="G271:H271"/>
    <mergeCell ref="I271:J271"/>
    <mergeCell ref="K271:L271"/>
    <mergeCell ref="M271:N271"/>
    <mergeCell ref="O271:Q271"/>
    <mergeCell ref="R271:T271"/>
    <mergeCell ref="U271:W271"/>
    <mergeCell ref="X271:Y271"/>
    <mergeCell ref="Z271:AB271"/>
    <mergeCell ref="AC271:AE271"/>
    <mergeCell ref="AF271:AH271"/>
    <mergeCell ref="AI271:AK271"/>
    <mergeCell ref="AL271:AN271"/>
    <mergeCell ref="AO271:AQ271"/>
    <mergeCell ref="C272:D272"/>
    <mergeCell ref="C358:D358"/>
    <mergeCell ref="E358:F358"/>
    <mergeCell ref="G358:H358"/>
    <mergeCell ref="I358:J358"/>
    <mergeCell ref="K358:L358"/>
    <mergeCell ref="M358:N358"/>
    <mergeCell ref="O358:Q358"/>
    <mergeCell ref="R358:T358"/>
    <mergeCell ref="U358:W358"/>
    <mergeCell ref="X356:Y356"/>
    <mergeCell ref="Z356:AB356"/>
    <mergeCell ref="AC356:AE356"/>
    <mergeCell ref="AF356:AH356"/>
    <mergeCell ref="AI356:AK356"/>
    <mergeCell ref="AL356:AN356"/>
    <mergeCell ref="AO356:AQ356"/>
    <mergeCell ref="C357:D357"/>
    <mergeCell ref="E357:F357"/>
    <mergeCell ref="G357:H357"/>
    <mergeCell ref="I357:J357"/>
    <mergeCell ref="K357:L357"/>
    <mergeCell ref="M357:N357"/>
    <mergeCell ref="O357:Q357"/>
    <mergeCell ref="R357:T357"/>
    <mergeCell ref="U357:W357"/>
    <mergeCell ref="X357:Y357"/>
    <mergeCell ref="Z357:AB357"/>
    <mergeCell ref="AC357:AE357"/>
    <mergeCell ref="AF357:AH357"/>
    <mergeCell ref="AI357:AK357"/>
    <mergeCell ref="AL357:AN357"/>
    <mergeCell ref="AO357:AQ357"/>
    <mergeCell ref="C356:D356"/>
    <mergeCell ref="E356:F356"/>
    <mergeCell ref="G356:H356"/>
    <mergeCell ref="I356:J356"/>
    <mergeCell ref="K356:L356"/>
    <mergeCell ref="M356:N356"/>
    <mergeCell ref="O356:Q356"/>
    <mergeCell ref="R356:T356"/>
    <mergeCell ref="U356:W356"/>
    <mergeCell ref="X269:Y269"/>
    <mergeCell ref="Z269:AB269"/>
    <mergeCell ref="AC269:AE269"/>
    <mergeCell ref="AF269:AH269"/>
    <mergeCell ref="AI269:AK269"/>
    <mergeCell ref="AL269:AN269"/>
    <mergeCell ref="AO269:AQ269"/>
    <mergeCell ref="C270:D270"/>
    <mergeCell ref="E270:F270"/>
    <mergeCell ref="G270:H270"/>
    <mergeCell ref="I270:J270"/>
    <mergeCell ref="K270:L270"/>
    <mergeCell ref="M270:N270"/>
    <mergeCell ref="O270:Q270"/>
    <mergeCell ref="R270:T270"/>
    <mergeCell ref="U270:W270"/>
    <mergeCell ref="X270:Y270"/>
    <mergeCell ref="Z270:AB270"/>
    <mergeCell ref="AC270:AE270"/>
    <mergeCell ref="AF270:AH270"/>
    <mergeCell ref="AI270:AK270"/>
    <mergeCell ref="AL270:AN270"/>
    <mergeCell ref="AO270:AQ270"/>
    <mergeCell ref="C269:D269"/>
    <mergeCell ref="E269:F269"/>
    <mergeCell ref="G269:H269"/>
    <mergeCell ref="I269:J269"/>
    <mergeCell ref="K269:L269"/>
    <mergeCell ref="M269:N269"/>
    <mergeCell ref="O269:Q269"/>
    <mergeCell ref="R269:T269"/>
    <mergeCell ref="U269:W269"/>
    <mergeCell ref="X267:Y267"/>
    <mergeCell ref="Z267:AB267"/>
    <mergeCell ref="AC267:AE267"/>
    <mergeCell ref="AF267:AH267"/>
    <mergeCell ref="AI267:AK267"/>
    <mergeCell ref="AL267:AN267"/>
    <mergeCell ref="AO267:AQ267"/>
    <mergeCell ref="C268:D268"/>
    <mergeCell ref="E268:F268"/>
    <mergeCell ref="G268:H268"/>
    <mergeCell ref="I268:J268"/>
    <mergeCell ref="K268:L268"/>
    <mergeCell ref="M268:N268"/>
    <mergeCell ref="O268:Q268"/>
    <mergeCell ref="R268:T268"/>
    <mergeCell ref="U268:W268"/>
    <mergeCell ref="X268:Y268"/>
    <mergeCell ref="Z268:AB268"/>
    <mergeCell ref="AC268:AE268"/>
    <mergeCell ref="AF268:AH268"/>
    <mergeCell ref="AI268:AK268"/>
    <mergeCell ref="AL268:AN268"/>
    <mergeCell ref="AO268:AQ268"/>
    <mergeCell ref="C267:D267"/>
    <mergeCell ref="E267:F267"/>
    <mergeCell ref="G267:H267"/>
    <mergeCell ref="I267:J267"/>
    <mergeCell ref="K267:L267"/>
    <mergeCell ref="M267:N267"/>
    <mergeCell ref="O267:Q267"/>
    <mergeCell ref="R267:T267"/>
    <mergeCell ref="U267:W267"/>
    <mergeCell ref="X265:Y265"/>
    <mergeCell ref="Z265:AB265"/>
    <mergeCell ref="AC265:AE265"/>
    <mergeCell ref="AF265:AH265"/>
    <mergeCell ref="AI265:AK265"/>
    <mergeCell ref="AL265:AN265"/>
    <mergeCell ref="AO265:AQ265"/>
    <mergeCell ref="C266:D266"/>
    <mergeCell ref="E266:F266"/>
    <mergeCell ref="G266:H266"/>
    <mergeCell ref="I266:J266"/>
    <mergeCell ref="K266:L266"/>
    <mergeCell ref="M266:N266"/>
    <mergeCell ref="O266:Q266"/>
    <mergeCell ref="R266:T266"/>
    <mergeCell ref="U266:W266"/>
    <mergeCell ref="X266:Y266"/>
    <mergeCell ref="Z266:AB266"/>
    <mergeCell ref="AC266:AE266"/>
    <mergeCell ref="AF266:AH266"/>
    <mergeCell ref="AI266:AK266"/>
    <mergeCell ref="AL266:AN266"/>
    <mergeCell ref="AO266:AQ266"/>
    <mergeCell ref="C265:D265"/>
    <mergeCell ref="E265:F265"/>
    <mergeCell ref="G265:H265"/>
    <mergeCell ref="I265:J265"/>
    <mergeCell ref="K265:L265"/>
    <mergeCell ref="M265:N265"/>
    <mergeCell ref="O265:Q265"/>
    <mergeCell ref="R265:T265"/>
    <mergeCell ref="U265:W265"/>
    <mergeCell ref="X263:Y263"/>
    <mergeCell ref="Z263:AB263"/>
    <mergeCell ref="AC263:AE263"/>
    <mergeCell ref="AF263:AH263"/>
    <mergeCell ref="AI263:AK263"/>
    <mergeCell ref="AL263:AN263"/>
    <mergeCell ref="AO263:AQ263"/>
    <mergeCell ref="C264:D264"/>
    <mergeCell ref="E264:F264"/>
    <mergeCell ref="G264:H264"/>
    <mergeCell ref="I264:J264"/>
    <mergeCell ref="K264:L264"/>
    <mergeCell ref="M264:N264"/>
    <mergeCell ref="O264:Q264"/>
    <mergeCell ref="R264:T264"/>
    <mergeCell ref="U264:W264"/>
    <mergeCell ref="X264:Y264"/>
    <mergeCell ref="Z264:AB264"/>
    <mergeCell ref="AC264:AE264"/>
    <mergeCell ref="AF264:AH264"/>
    <mergeCell ref="AI264:AK264"/>
    <mergeCell ref="AL264:AN264"/>
    <mergeCell ref="AO264:AQ264"/>
    <mergeCell ref="C263:D263"/>
    <mergeCell ref="E263:F263"/>
    <mergeCell ref="G263:H263"/>
    <mergeCell ref="I263:J263"/>
    <mergeCell ref="K263:L263"/>
    <mergeCell ref="M263:N263"/>
    <mergeCell ref="O263:Q263"/>
    <mergeCell ref="R263:T263"/>
    <mergeCell ref="U263:W263"/>
    <mergeCell ref="X261:Y261"/>
    <mergeCell ref="Z261:AB261"/>
    <mergeCell ref="AC261:AE261"/>
    <mergeCell ref="AF261:AH261"/>
    <mergeCell ref="AI261:AK261"/>
    <mergeCell ref="AL261:AN261"/>
    <mergeCell ref="AO261:AQ261"/>
    <mergeCell ref="C262:D262"/>
    <mergeCell ref="E262:F262"/>
    <mergeCell ref="G262:H262"/>
    <mergeCell ref="I262:J262"/>
    <mergeCell ref="K262:L262"/>
    <mergeCell ref="M262:N262"/>
    <mergeCell ref="O262:Q262"/>
    <mergeCell ref="R262:T262"/>
    <mergeCell ref="U262:W262"/>
    <mergeCell ref="X262:Y262"/>
    <mergeCell ref="Z262:AB262"/>
    <mergeCell ref="AC262:AE262"/>
    <mergeCell ref="AF262:AH262"/>
    <mergeCell ref="AI262:AK262"/>
    <mergeCell ref="AL262:AN262"/>
    <mergeCell ref="AO262:AQ262"/>
    <mergeCell ref="C261:D261"/>
    <mergeCell ref="E261:F261"/>
    <mergeCell ref="G261:H261"/>
    <mergeCell ref="I261:J261"/>
    <mergeCell ref="K261:L261"/>
    <mergeCell ref="M261:N261"/>
    <mergeCell ref="O261:Q261"/>
    <mergeCell ref="R261:T261"/>
    <mergeCell ref="U261:W261"/>
    <mergeCell ref="Z259:AB259"/>
    <mergeCell ref="AC259:AE259"/>
    <mergeCell ref="AF259:AH259"/>
    <mergeCell ref="AI259:AK259"/>
    <mergeCell ref="AL259:AN259"/>
    <mergeCell ref="AO259:AQ259"/>
    <mergeCell ref="C260:D260"/>
    <mergeCell ref="E260:F260"/>
    <mergeCell ref="G260:H260"/>
    <mergeCell ref="I260:J260"/>
    <mergeCell ref="K260:L260"/>
    <mergeCell ref="M260:N260"/>
    <mergeCell ref="O260:Q260"/>
    <mergeCell ref="R260:T260"/>
    <mergeCell ref="U260:W260"/>
    <mergeCell ref="X260:Y260"/>
    <mergeCell ref="Z260:AB260"/>
    <mergeCell ref="AC260:AE260"/>
    <mergeCell ref="AF260:AH260"/>
    <mergeCell ref="AI260:AK260"/>
    <mergeCell ref="AL260:AN260"/>
    <mergeCell ref="AO260:AQ260"/>
    <mergeCell ref="E259:F259"/>
    <mergeCell ref="G259:H259"/>
    <mergeCell ref="I259:J259"/>
    <mergeCell ref="K259:L259"/>
    <mergeCell ref="M259:N259"/>
    <mergeCell ref="O259:Q259"/>
    <mergeCell ref="R259:T259"/>
    <mergeCell ref="U259:W259"/>
    <mergeCell ref="X259:Y259"/>
    <mergeCell ref="X258:Y258"/>
    <mergeCell ref="Z258:AB258"/>
    <mergeCell ref="AC258:AE258"/>
    <mergeCell ref="AF258:AH258"/>
    <mergeCell ref="AI258:AK258"/>
    <mergeCell ref="AL258:AN258"/>
    <mergeCell ref="AO258:AQ258"/>
    <mergeCell ref="C359:D359"/>
    <mergeCell ref="E359:F359"/>
    <mergeCell ref="G359:H359"/>
    <mergeCell ref="I359:J359"/>
    <mergeCell ref="K359:L359"/>
    <mergeCell ref="M359:N359"/>
    <mergeCell ref="O359:Q359"/>
    <mergeCell ref="R359:T359"/>
    <mergeCell ref="U359:W359"/>
    <mergeCell ref="X359:Y359"/>
    <mergeCell ref="Z359:AB359"/>
    <mergeCell ref="AC359:AE359"/>
    <mergeCell ref="AF359:AH359"/>
    <mergeCell ref="AI359:AK359"/>
    <mergeCell ref="AL359:AN359"/>
    <mergeCell ref="AO359:AQ359"/>
    <mergeCell ref="C259:D259"/>
    <mergeCell ref="C258:D258"/>
    <mergeCell ref="E258:F258"/>
    <mergeCell ref="G258:H258"/>
    <mergeCell ref="I258:J258"/>
    <mergeCell ref="K258:L258"/>
    <mergeCell ref="M258:N258"/>
    <mergeCell ref="O258:Q258"/>
    <mergeCell ref="R258:T258"/>
    <mergeCell ref="U258:W258"/>
    <mergeCell ref="X256:Y256"/>
    <mergeCell ref="Z256:AB256"/>
    <mergeCell ref="AC256:AE256"/>
    <mergeCell ref="AF256:AH256"/>
    <mergeCell ref="AI256:AK256"/>
    <mergeCell ref="AL256:AN256"/>
    <mergeCell ref="AO256:AQ256"/>
    <mergeCell ref="C257:D257"/>
    <mergeCell ref="E257:F257"/>
    <mergeCell ref="G257:H257"/>
    <mergeCell ref="I257:J257"/>
    <mergeCell ref="K257:L257"/>
    <mergeCell ref="M257:N257"/>
    <mergeCell ref="O257:Q257"/>
    <mergeCell ref="R257:T257"/>
    <mergeCell ref="U257:W257"/>
    <mergeCell ref="X257:Y257"/>
    <mergeCell ref="Z257:AB257"/>
    <mergeCell ref="AC257:AE257"/>
    <mergeCell ref="AF257:AH257"/>
    <mergeCell ref="AI257:AK257"/>
    <mergeCell ref="AL257:AN257"/>
    <mergeCell ref="AO257:AQ257"/>
    <mergeCell ref="C256:D256"/>
    <mergeCell ref="E256:F256"/>
    <mergeCell ref="G256:H256"/>
    <mergeCell ref="I256:J256"/>
    <mergeCell ref="K256:L256"/>
    <mergeCell ref="M256:N256"/>
    <mergeCell ref="O256:Q256"/>
    <mergeCell ref="R256:T256"/>
    <mergeCell ref="U256:W256"/>
    <mergeCell ref="X254:Y254"/>
    <mergeCell ref="Z254:AB254"/>
    <mergeCell ref="AC254:AE254"/>
    <mergeCell ref="AF254:AH254"/>
    <mergeCell ref="AI254:AK254"/>
    <mergeCell ref="AL254:AN254"/>
    <mergeCell ref="AO254:AQ254"/>
    <mergeCell ref="C255:D255"/>
    <mergeCell ref="E255:F255"/>
    <mergeCell ref="G255:H255"/>
    <mergeCell ref="I255:J255"/>
    <mergeCell ref="K255:L255"/>
    <mergeCell ref="M255:N255"/>
    <mergeCell ref="O255:Q255"/>
    <mergeCell ref="R255:T255"/>
    <mergeCell ref="U255:W255"/>
    <mergeCell ref="X255:Y255"/>
    <mergeCell ref="Z255:AB255"/>
    <mergeCell ref="AC255:AE255"/>
    <mergeCell ref="AF255:AH255"/>
    <mergeCell ref="AI255:AK255"/>
    <mergeCell ref="AL255:AN255"/>
    <mergeCell ref="AO255:AQ255"/>
    <mergeCell ref="C254:D254"/>
    <mergeCell ref="E254:F254"/>
    <mergeCell ref="G254:H254"/>
    <mergeCell ref="I254:J254"/>
    <mergeCell ref="K254:L254"/>
    <mergeCell ref="O253:Q253"/>
    <mergeCell ref="R253:T253"/>
    <mergeCell ref="U253:W253"/>
    <mergeCell ref="X253:Y253"/>
    <mergeCell ref="Z253:AB253"/>
    <mergeCell ref="AC253:AE253"/>
    <mergeCell ref="AF253:AH253"/>
    <mergeCell ref="AI253:AK253"/>
    <mergeCell ref="AL253:AN253"/>
    <mergeCell ref="AO253:AQ253"/>
    <mergeCell ref="K252:L252"/>
    <mergeCell ref="M252:N252"/>
    <mergeCell ref="O252:Q252"/>
    <mergeCell ref="R252:T252"/>
    <mergeCell ref="U252:W252"/>
    <mergeCell ref="X252:Y252"/>
    <mergeCell ref="Z252:AB252"/>
    <mergeCell ref="AC252:AE252"/>
    <mergeCell ref="AF252:AH252"/>
    <mergeCell ref="AL252:AN252"/>
    <mergeCell ref="AO252:AQ252"/>
    <mergeCell ref="B249:B359"/>
    <mergeCell ref="C249:D251"/>
    <mergeCell ref="E249:F251"/>
    <mergeCell ref="G249:H251"/>
    <mergeCell ref="I249:L249"/>
    <mergeCell ref="M249:W249"/>
    <mergeCell ref="I250:J251"/>
    <mergeCell ref="K250:L251"/>
    <mergeCell ref="M250:N251"/>
    <mergeCell ref="O250:Q251"/>
    <mergeCell ref="R250:T251"/>
    <mergeCell ref="U250:W251"/>
    <mergeCell ref="X250:Y251"/>
    <mergeCell ref="Z250:AB251"/>
    <mergeCell ref="AC250:AE251"/>
    <mergeCell ref="AF250:AH251"/>
    <mergeCell ref="AI250:AK251"/>
    <mergeCell ref="C252:D252"/>
    <mergeCell ref="E252:F252"/>
    <mergeCell ref="G252:H252"/>
    <mergeCell ref="I252:J252"/>
    <mergeCell ref="M254:N254"/>
    <mergeCell ref="O254:Q254"/>
    <mergeCell ref="R254:T254"/>
    <mergeCell ref="U254:W254"/>
    <mergeCell ref="AI252:AK252"/>
    <mergeCell ref="C253:D253"/>
    <mergeCell ref="E253:F253"/>
    <mergeCell ref="G253:H253"/>
    <mergeCell ref="I253:J253"/>
    <mergeCell ref="K253:L253"/>
    <mergeCell ref="M253:N253"/>
    <mergeCell ref="BB104:BC104"/>
    <mergeCell ref="AZ105:BA105"/>
    <mergeCell ref="BB105:BC105"/>
    <mergeCell ref="AZ106:BC106"/>
    <mergeCell ref="AZ93:BC93"/>
    <mergeCell ref="AZ94:BC94"/>
    <mergeCell ref="AZ95:BC95"/>
    <mergeCell ref="E124:G125"/>
    <mergeCell ref="H124:H125"/>
    <mergeCell ref="L124:M125"/>
    <mergeCell ref="Q124:S125"/>
    <mergeCell ref="N124:P125"/>
    <mergeCell ref="T124:V125"/>
    <mergeCell ref="AX102:AY102"/>
    <mergeCell ref="AV103:AW103"/>
    <mergeCell ref="L111:N111"/>
    <mergeCell ref="L112:M112"/>
    <mergeCell ref="L113:N113"/>
    <mergeCell ref="L114:N114"/>
    <mergeCell ref="L115:N115"/>
    <mergeCell ref="L116:N116"/>
    <mergeCell ref="L117:N117"/>
    <mergeCell ref="O111:Q111"/>
    <mergeCell ref="O112:P112"/>
    <mergeCell ref="O113:Q113"/>
    <mergeCell ref="O114:Q114"/>
    <mergeCell ref="O115:Q115"/>
    <mergeCell ref="O116:Q116"/>
    <mergeCell ref="O117:Q117"/>
    <mergeCell ref="AN107:AQ107"/>
    <mergeCell ref="AR102:AS102"/>
    <mergeCell ref="AN102:AO102"/>
    <mergeCell ref="AV101:AW101"/>
    <mergeCell ref="AX101:AY101"/>
    <mergeCell ref="AV107:AY107"/>
    <mergeCell ref="AN105:AO105"/>
    <mergeCell ref="AP105:AQ105"/>
    <mergeCell ref="AN106:AQ106"/>
    <mergeCell ref="AR105:AS105"/>
    <mergeCell ref="AZ96:BC96"/>
    <mergeCell ref="AZ98:BC98"/>
    <mergeCell ref="AZ99:BB99"/>
    <mergeCell ref="AZ100:BA100"/>
    <mergeCell ref="BB100:BC100"/>
    <mergeCell ref="AZ101:BA101"/>
    <mergeCell ref="BB101:BC101"/>
    <mergeCell ref="AZ107:BC107"/>
    <mergeCell ref="AV102:AW102"/>
    <mergeCell ref="AR93:AU93"/>
    <mergeCell ref="AR94:AU94"/>
    <mergeCell ref="AR95:AU95"/>
    <mergeCell ref="AR96:AU96"/>
    <mergeCell ref="AR98:AU98"/>
    <mergeCell ref="AR99:AT99"/>
    <mergeCell ref="AR100:AS100"/>
    <mergeCell ref="AT100:AU100"/>
    <mergeCell ref="AT105:AU105"/>
    <mergeCell ref="AR106:AU106"/>
    <mergeCell ref="AR107:AU107"/>
    <mergeCell ref="AZ102:BA102"/>
    <mergeCell ref="BB102:BC102"/>
    <mergeCell ref="AZ103:BA103"/>
    <mergeCell ref="BB103:BC103"/>
    <mergeCell ref="AZ104:BA104"/>
    <mergeCell ref="AR101:AS101"/>
    <mergeCell ref="AT101:AU101"/>
    <mergeCell ref="AR97:AU97"/>
    <mergeCell ref="AR103:AS103"/>
    <mergeCell ref="AT103:AU103"/>
    <mergeCell ref="AR104:AS104"/>
    <mergeCell ref="AT104:AU104"/>
    <mergeCell ref="AN93:AQ93"/>
    <mergeCell ref="AN94:AQ94"/>
    <mergeCell ref="AN95:AQ95"/>
    <mergeCell ref="AN96:AQ96"/>
    <mergeCell ref="AN98:AQ98"/>
    <mergeCell ref="AN99:AP99"/>
    <mergeCell ref="AN100:AO100"/>
    <mergeCell ref="AP100:AQ100"/>
    <mergeCell ref="AN101:AO101"/>
    <mergeCell ref="AP101:AQ101"/>
    <mergeCell ref="AN97:AQ97"/>
    <mergeCell ref="AP102:AQ102"/>
    <mergeCell ref="AN103:AO103"/>
    <mergeCell ref="AP103:AQ103"/>
    <mergeCell ref="AN104:AO104"/>
    <mergeCell ref="AP104:AQ104"/>
    <mergeCell ref="AJ97:AM97"/>
    <mergeCell ref="AJ93:AM93"/>
    <mergeCell ref="AJ94:AM94"/>
    <mergeCell ref="AJ95:AM95"/>
    <mergeCell ref="AJ96:AM96"/>
    <mergeCell ref="AJ98:AM98"/>
    <mergeCell ref="AJ99:AL99"/>
    <mergeCell ref="AJ100:AK100"/>
    <mergeCell ref="AL100:AM100"/>
    <mergeCell ref="AJ101:AK101"/>
    <mergeCell ref="AL101:AM101"/>
    <mergeCell ref="AJ102:AK102"/>
    <mergeCell ref="AL102:AM102"/>
    <mergeCell ref="AJ103:AK103"/>
    <mergeCell ref="AL103:AM103"/>
    <mergeCell ref="AJ104:AK104"/>
    <mergeCell ref="AL104:AM104"/>
    <mergeCell ref="AF93:AI93"/>
    <mergeCell ref="AF94:AI94"/>
    <mergeCell ref="AF95:AI95"/>
    <mergeCell ref="AF96:AI96"/>
    <mergeCell ref="AF98:AI98"/>
    <mergeCell ref="AF99:AH99"/>
    <mergeCell ref="AF100:AG100"/>
    <mergeCell ref="AH100:AI100"/>
    <mergeCell ref="AF101:AG101"/>
    <mergeCell ref="AH101:AI101"/>
    <mergeCell ref="AF97:AI97"/>
    <mergeCell ref="AB93:AE93"/>
    <mergeCell ref="AB94:AE94"/>
    <mergeCell ref="AB95:AE95"/>
    <mergeCell ref="AD100:AE100"/>
    <mergeCell ref="AB106:AE106"/>
    <mergeCell ref="AD101:AE101"/>
    <mergeCell ref="I94:K94"/>
    <mergeCell ref="I95:K95"/>
    <mergeCell ref="I96:K96"/>
    <mergeCell ref="I97:K97"/>
    <mergeCell ref="I98:K98"/>
    <mergeCell ref="I99:K99"/>
    <mergeCell ref="I100:K100"/>
    <mergeCell ref="I102:K102"/>
    <mergeCell ref="V102:AA102"/>
    <mergeCell ref="V103:AA103"/>
    <mergeCell ref="V104:AA104"/>
    <mergeCell ref="V105:AA105"/>
    <mergeCell ref="V106:AA106"/>
    <mergeCell ref="V107:AA107"/>
    <mergeCell ref="AB96:AE96"/>
    <mergeCell ref="AB98:AE98"/>
    <mergeCell ref="AB99:AD99"/>
    <mergeCell ref="AB97:AE97"/>
    <mergeCell ref="AB103:AC103"/>
    <mergeCell ref="AB104:AC104"/>
    <mergeCell ref="AD102:AE102"/>
    <mergeCell ref="AD103:AE103"/>
    <mergeCell ref="AD104:AE104"/>
    <mergeCell ref="AD105:AE105"/>
    <mergeCell ref="U93:U107"/>
    <mergeCell ref="V93:AA93"/>
    <mergeCell ref="V94:AA94"/>
    <mergeCell ref="V95:AA95"/>
    <mergeCell ref="V96:AA96"/>
    <mergeCell ref="V97:AA97"/>
    <mergeCell ref="V98:AA98"/>
    <mergeCell ref="V99:AA99"/>
    <mergeCell ref="B93:C93"/>
    <mergeCell ref="L94:O94"/>
    <mergeCell ref="L95:O95"/>
    <mergeCell ref="L96:O96"/>
    <mergeCell ref="L97:O97"/>
    <mergeCell ref="L98:O98"/>
    <mergeCell ref="L99:O99"/>
    <mergeCell ref="L100:O100"/>
    <mergeCell ref="L101:O101"/>
    <mergeCell ref="I101:K101"/>
    <mergeCell ref="F97:H97"/>
    <mergeCell ref="F98:H98"/>
    <mergeCell ref="C94:E94"/>
    <mergeCell ref="F94:H94"/>
    <mergeCell ref="L104:O104"/>
    <mergeCell ref="L105:O105"/>
    <mergeCell ref="L106:O106"/>
    <mergeCell ref="C95:E95"/>
    <mergeCell ref="C96:E96"/>
    <mergeCell ref="C97:E97"/>
    <mergeCell ref="C98:E98"/>
    <mergeCell ref="C99:E99"/>
    <mergeCell ref="C100:E100"/>
    <mergeCell ref="F95:H95"/>
    <mergeCell ref="K93:M93"/>
    <mergeCell ref="D93:F93"/>
    <mergeCell ref="H93:J93"/>
    <mergeCell ref="N93:R93"/>
    <mergeCell ref="P96:R96"/>
    <mergeCell ref="P97:R97"/>
    <mergeCell ref="P98:R98"/>
    <mergeCell ref="P99:R99"/>
    <mergeCell ref="B94:B107"/>
    <mergeCell ref="C101:E101"/>
    <mergeCell ref="C102:E102"/>
    <mergeCell ref="C103:E103"/>
    <mergeCell ref="C104:E104"/>
    <mergeCell ref="C105:E105"/>
    <mergeCell ref="C106:E106"/>
    <mergeCell ref="C107:E107"/>
    <mergeCell ref="S2:U2"/>
    <mergeCell ref="V2:Y2"/>
    <mergeCell ref="D4:G4"/>
    <mergeCell ref="I4:M4"/>
    <mergeCell ref="N4:R4"/>
    <mergeCell ref="A5:C5"/>
    <mergeCell ref="A6:C6"/>
    <mergeCell ref="A2:C2"/>
    <mergeCell ref="D2:H2"/>
    <mergeCell ref="I2:K2"/>
    <mergeCell ref="A3:C3"/>
    <mergeCell ref="D3:G3"/>
    <mergeCell ref="I3:M3"/>
    <mergeCell ref="N3:R3"/>
    <mergeCell ref="A7:C7"/>
    <mergeCell ref="A9:C9"/>
    <mergeCell ref="A10:C10"/>
    <mergeCell ref="A11:C11"/>
    <mergeCell ref="A12:C12"/>
    <mergeCell ref="A14:B14"/>
    <mergeCell ref="C14:C15"/>
    <mergeCell ref="I106:K106"/>
    <mergeCell ref="A15:B15"/>
    <mergeCell ref="A4:C4"/>
    <mergeCell ref="A22:C22"/>
    <mergeCell ref="A23:C23"/>
    <mergeCell ref="A28:C28"/>
    <mergeCell ref="A29:C29"/>
    <mergeCell ref="A30:C30"/>
    <mergeCell ref="A31:H31"/>
    <mergeCell ref="A16:C16"/>
    <mergeCell ref="A17:C17"/>
    <mergeCell ref="A18:C18"/>
    <mergeCell ref="A19:C19"/>
    <mergeCell ref="A20:C20"/>
    <mergeCell ref="A21:C21"/>
    <mergeCell ref="BA31:BE33"/>
    <mergeCell ref="A32:H32"/>
    <mergeCell ref="I32:M32"/>
    <mergeCell ref="N32:R32"/>
    <mergeCell ref="S32:U32"/>
    <mergeCell ref="AB32:AF32"/>
    <mergeCell ref="AG32:AI32"/>
    <mergeCell ref="I31:L31"/>
    <mergeCell ref="N31:R31"/>
    <mergeCell ref="S31:U31"/>
    <mergeCell ref="V31:AA33"/>
    <mergeCell ref="AB31:AF31"/>
    <mergeCell ref="AG31:AI31"/>
    <mergeCell ref="AP33:AW33"/>
    <mergeCell ref="AX33:AZ33"/>
    <mergeCell ref="AG33:AI33"/>
    <mergeCell ref="AJ31:AO33"/>
    <mergeCell ref="AP31:AW31"/>
    <mergeCell ref="AX31:AZ31"/>
    <mergeCell ref="A24:C24"/>
    <mergeCell ref="A35:B35"/>
    <mergeCell ref="D36:G36"/>
    <mergeCell ref="I36:M36"/>
    <mergeCell ref="N36:R36"/>
    <mergeCell ref="A33:H33"/>
    <mergeCell ref="I33:M33"/>
    <mergeCell ref="N33:R33"/>
    <mergeCell ref="S33:U33"/>
    <mergeCell ref="AB33:AF33"/>
    <mergeCell ref="A40:B40"/>
    <mergeCell ref="A41:A42"/>
    <mergeCell ref="B41:B42"/>
    <mergeCell ref="D42:G42"/>
    <mergeCell ref="I42:M42"/>
    <mergeCell ref="N42:R42"/>
    <mergeCell ref="A37:B37"/>
    <mergeCell ref="A38:A39"/>
    <mergeCell ref="B38:B39"/>
    <mergeCell ref="D39:G39"/>
    <mergeCell ref="I39:M39"/>
    <mergeCell ref="N39:R39"/>
    <mergeCell ref="AV43:AY43"/>
    <mergeCell ref="A44:C44"/>
    <mergeCell ref="D44:G44"/>
    <mergeCell ref="I44:M44"/>
    <mergeCell ref="N44:R44"/>
    <mergeCell ref="S44:V44"/>
    <mergeCell ref="W44:Y44"/>
    <mergeCell ref="Z44:AC44"/>
    <mergeCell ref="AD44:AF44"/>
    <mergeCell ref="AG44:AJ44"/>
    <mergeCell ref="Z43:AC43"/>
    <mergeCell ref="AD43:AF43"/>
    <mergeCell ref="AG43:AJ43"/>
    <mergeCell ref="AK43:AN43"/>
    <mergeCell ref="AO43:AR43"/>
    <mergeCell ref="AS43:AU43"/>
    <mergeCell ref="A43:C43"/>
    <mergeCell ref="D43:G43"/>
    <mergeCell ref="I43:M43"/>
    <mergeCell ref="N43:R43"/>
    <mergeCell ref="S43:V43"/>
    <mergeCell ref="W43:Y43"/>
    <mergeCell ref="AK44:AN44"/>
    <mergeCell ref="AO44:AR44"/>
    <mergeCell ref="AS44:AU44"/>
    <mergeCell ref="AV44:AY44"/>
    <mergeCell ref="S45:V45"/>
    <mergeCell ref="W45:Y45"/>
    <mergeCell ref="Z45:AC45"/>
    <mergeCell ref="AD45:AF45"/>
    <mergeCell ref="AG45:AJ45"/>
    <mergeCell ref="AK45:AN45"/>
    <mergeCell ref="AO45:AR45"/>
    <mergeCell ref="A67:C67"/>
    <mergeCell ref="D67:H67"/>
    <mergeCell ref="A70:C70"/>
    <mergeCell ref="D70:F70"/>
    <mergeCell ref="G70:I70"/>
    <mergeCell ref="J70:L70"/>
    <mergeCell ref="M70:O70"/>
    <mergeCell ref="P70:R70"/>
    <mergeCell ref="S70:U70"/>
    <mergeCell ref="AQ70:AS70"/>
    <mergeCell ref="A71:C71"/>
    <mergeCell ref="D71:F71"/>
    <mergeCell ref="G71:I71"/>
    <mergeCell ref="J71:L71"/>
    <mergeCell ref="M71:O71"/>
    <mergeCell ref="P71:R71"/>
    <mergeCell ref="V70:X70"/>
    <mergeCell ref="Y70:AA70"/>
    <mergeCell ref="AC70:AG70"/>
    <mergeCell ref="AH70:AK71"/>
    <mergeCell ref="AM70:AM77"/>
    <mergeCell ref="AN70:AP70"/>
    <mergeCell ref="V72:X72"/>
    <mergeCell ref="Y72:AA72"/>
    <mergeCell ref="AC72:AD72"/>
    <mergeCell ref="AE72:AG72"/>
    <mergeCell ref="J73:L73"/>
    <mergeCell ref="M73:O73"/>
    <mergeCell ref="A72:C72"/>
    <mergeCell ref="D72:F72"/>
    <mergeCell ref="G72:I72"/>
    <mergeCell ref="J72:L72"/>
    <mergeCell ref="M72:O72"/>
    <mergeCell ref="P72:R72"/>
    <mergeCell ref="S72:U72"/>
    <mergeCell ref="S71:U71"/>
    <mergeCell ref="V71:X71"/>
    <mergeCell ref="Y71:AA71"/>
    <mergeCell ref="AC71:AD71"/>
    <mergeCell ref="AE71:AG71"/>
    <mergeCell ref="AN71:AP71"/>
    <mergeCell ref="AN73:AP73"/>
    <mergeCell ref="AQ73:AS73"/>
    <mergeCell ref="AW73:AY73"/>
    <mergeCell ref="AZ73:BB73"/>
    <mergeCell ref="A74:C74"/>
    <mergeCell ref="D74:F74"/>
    <mergeCell ref="G74:I74"/>
    <mergeCell ref="J74:L74"/>
    <mergeCell ref="M74:O74"/>
    <mergeCell ref="P74:R74"/>
    <mergeCell ref="P73:R73"/>
    <mergeCell ref="S73:U73"/>
    <mergeCell ref="V73:X73"/>
    <mergeCell ref="Y73:AA73"/>
    <mergeCell ref="AC73:AD73"/>
    <mergeCell ref="AE73:AG73"/>
    <mergeCell ref="AH72:AK79"/>
    <mergeCell ref="AN72:AP72"/>
    <mergeCell ref="AQ72:AS72"/>
    <mergeCell ref="AW72:AY72"/>
    <mergeCell ref="AZ72:BB72"/>
    <mergeCell ref="A73:C73"/>
    <mergeCell ref="D73:F73"/>
    <mergeCell ref="G73:I73"/>
    <mergeCell ref="AW74:AY74"/>
    <mergeCell ref="AZ74:BB74"/>
    <mergeCell ref="A75:C75"/>
    <mergeCell ref="D75:F75"/>
    <mergeCell ref="G75:I75"/>
    <mergeCell ref="J75:L75"/>
    <mergeCell ref="M75:O75"/>
    <mergeCell ref="P75:R75"/>
    <mergeCell ref="S75:U75"/>
    <mergeCell ref="V74:X74"/>
    <mergeCell ref="Y74:AA74"/>
    <mergeCell ref="AC74:AG74"/>
    <mergeCell ref="AN74:AP74"/>
    <mergeCell ref="AQ74:AS74"/>
    <mergeCell ref="A76:C76"/>
    <mergeCell ref="D76:F76"/>
    <mergeCell ref="G76:I76"/>
    <mergeCell ref="J76:L76"/>
    <mergeCell ref="M76:O76"/>
    <mergeCell ref="P76:R76"/>
    <mergeCell ref="Y75:AA75"/>
    <mergeCell ref="AC75:AG79"/>
    <mergeCell ref="AN75:AP77"/>
    <mergeCell ref="A77:C77"/>
    <mergeCell ref="D77:F77"/>
    <mergeCell ref="A79:C79"/>
    <mergeCell ref="D79:F79"/>
    <mergeCell ref="G79:I79"/>
    <mergeCell ref="J79:L79"/>
    <mergeCell ref="M79:O79"/>
    <mergeCell ref="P79:R79"/>
    <mergeCell ref="G77:I77"/>
    <mergeCell ref="J77:L77"/>
    <mergeCell ref="M77:O77"/>
    <mergeCell ref="P77:R77"/>
    <mergeCell ref="A78:C78"/>
    <mergeCell ref="D78:F78"/>
    <mergeCell ref="G78:I78"/>
    <mergeCell ref="J78:L78"/>
    <mergeCell ref="M78:O78"/>
    <mergeCell ref="P78:R78"/>
    <mergeCell ref="AV77:AV79"/>
    <mergeCell ref="AW77:AY77"/>
    <mergeCell ref="AZ77:BB77"/>
    <mergeCell ref="BC77:BE77"/>
    <mergeCell ref="S76:U76"/>
    <mergeCell ref="V76:X76"/>
    <mergeCell ref="Y76:AA76"/>
    <mergeCell ref="S78:U78"/>
    <mergeCell ref="V78:X78"/>
    <mergeCell ref="Y78:AA78"/>
    <mergeCell ref="AW78:AY78"/>
    <mergeCell ref="AZ78:BB78"/>
    <mergeCell ref="BC78:BE78"/>
    <mergeCell ref="AW79:AY79"/>
    <mergeCell ref="AZ79:BB79"/>
    <mergeCell ref="BC79:BE79"/>
    <mergeCell ref="S77:U77"/>
    <mergeCell ref="AQ75:AS77"/>
    <mergeCell ref="AW75:AY75"/>
    <mergeCell ref="AZ75:BB75"/>
    <mergeCell ref="V79:X79"/>
    <mergeCell ref="Y79:AA79"/>
    <mergeCell ref="V77:X77"/>
    <mergeCell ref="Y77:AA77"/>
    <mergeCell ref="AV70:AV75"/>
    <mergeCell ref="AW70:AY70"/>
    <mergeCell ref="AZ70:BB70"/>
    <mergeCell ref="AQ71:AS71"/>
    <mergeCell ref="AW71:AY71"/>
    <mergeCell ref="AZ71:BB71"/>
    <mergeCell ref="V75:X75"/>
    <mergeCell ref="S74:U74"/>
    <mergeCell ref="S79:U79"/>
    <mergeCell ref="X82:Y83"/>
    <mergeCell ref="Z82:AA83"/>
    <mergeCell ref="AB82:AD83"/>
    <mergeCell ref="A81:A84"/>
    <mergeCell ref="B81:C81"/>
    <mergeCell ref="D81:F81"/>
    <mergeCell ref="G81:I81"/>
    <mergeCell ref="J81:L81"/>
    <mergeCell ref="O81:O91"/>
    <mergeCell ref="B82:C82"/>
    <mergeCell ref="D82:F82"/>
    <mergeCell ref="G82:I82"/>
    <mergeCell ref="J82:L82"/>
    <mergeCell ref="B84:C84"/>
    <mergeCell ref="D84:F84"/>
    <mergeCell ref="G84:I84"/>
    <mergeCell ref="J84:L84"/>
    <mergeCell ref="B90:D90"/>
    <mergeCell ref="E90:G90"/>
    <mergeCell ref="H90:J90"/>
    <mergeCell ref="A86:A91"/>
    <mergeCell ref="B86:J86"/>
    <mergeCell ref="B83:C83"/>
    <mergeCell ref="D83:F83"/>
    <mergeCell ref="P84:Q84"/>
    <mergeCell ref="R84:S84"/>
    <mergeCell ref="G83:I83"/>
    <mergeCell ref="J83:L83"/>
    <mergeCell ref="P86:Q86"/>
    <mergeCell ref="R86:S86"/>
    <mergeCell ref="T86:U86"/>
    <mergeCell ref="AV82:AX83"/>
    <mergeCell ref="T84:U84"/>
    <mergeCell ref="V84:W84"/>
    <mergeCell ref="AY82:BA83"/>
    <mergeCell ref="BB82:BD83"/>
    <mergeCell ref="AE82:AG83"/>
    <mergeCell ref="AH82:AJ83"/>
    <mergeCell ref="AK82:AL83"/>
    <mergeCell ref="AS82:AU83"/>
    <mergeCell ref="P81:Q83"/>
    <mergeCell ref="R81:S83"/>
    <mergeCell ref="T81:U83"/>
    <mergeCell ref="V81:Y81"/>
    <mergeCell ref="Z81:AJ81"/>
    <mergeCell ref="AM82:AO83"/>
    <mergeCell ref="AP82:AR83"/>
    <mergeCell ref="AK81:BD81"/>
    <mergeCell ref="V82:W83"/>
    <mergeCell ref="V86:W86"/>
    <mergeCell ref="X86:Y86"/>
    <mergeCell ref="Z86:AA86"/>
    <mergeCell ref="AH85:AJ85"/>
    <mergeCell ref="AK85:AL85"/>
    <mergeCell ref="AM85:AO85"/>
    <mergeCell ref="P85:Q85"/>
    <mergeCell ref="R85:S85"/>
    <mergeCell ref="T85:U85"/>
    <mergeCell ref="V85:W85"/>
    <mergeCell ref="X85:Y85"/>
    <mergeCell ref="Z85:AA85"/>
    <mergeCell ref="AB85:AD85"/>
    <mergeCell ref="AE85:AG85"/>
    <mergeCell ref="AS86:AU86"/>
    <mergeCell ref="AP85:AR85"/>
    <mergeCell ref="AS85:AU85"/>
    <mergeCell ref="AV86:AX86"/>
    <mergeCell ref="AY86:BA86"/>
    <mergeCell ref="BB86:BD86"/>
    <mergeCell ref="AB86:AD86"/>
    <mergeCell ref="AE86:AG86"/>
    <mergeCell ref="AH86:AJ86"/>
    <mergeCell ref="AH87:AJ87"/>
    <mergeCell ref="X84:Y84"/>
    <mergeCell ref="Z84:AA84"/>
    <mergeCell ref="AB84:AD84"/>
    <mergeCell ref="AE84:AG84"/>
    <mergeCell ref="AY85:BA85"/>
    <mergeCell ref="AY84:BA84"/>
    <mergeCell ref="BB84:BD84"/>
    <mergeCell ref="AH84:AJ84"/>
    <mergeCell ref="AK84:AL84"/>
    <mergeCell ref="AM84:AO84"/>
    <mergeCell ref="AP84:AR84"/>
    <mergeCell ref="AS84:AU84"/>
    <mergeCell ref="AV84:AX84"/>
    <mergeCell ref="AV87:AX87"/>
    <mergeCell ref="AY87:BA87"/>
    <mergeCell ref="BB85:BD85"/>
    <mergeCell ref="AV85:AX85"/>
    <mergeCell ref="V87:W87"/>
    <mergeCell ref="X87:Y87"/>
    <mergeCell ref="Z87:AA87"/>
    <mergeCell ref="AB87:AD87"/>
    <mergeCell ref="AE87:AG87"/>
    <mergeCell ref="E87:G88"/>
    <mergeCell ref="H87:J88"/>
    <mergeCell ref="P87:Q87"/>
    <mergeCell ref="R87:S87"/>
    <mergeCell ref="T87:U87"/>
    <mergeCell ref="BB89:BD89"/>
    <mergeCell ref="AK89:AL89"/>
    <mergeCell ref="AM89:AO89"/>
    <mergeCell ref="AP89:AR89"/>
    <mergeCell ref="B87:D88"/>
    <mergeCell ref="AK86:AL86"/>
    <mergeCell ref="AM86:AO86"/>
    <mergeCell ref="AP86:AR86"/>
    <mergeCell ref="BB87:BD87"/>
    <mergeCell ref="P88:Q88"/>
    <mergeCell ref="R88:S88"/>
    <mergeCell ref="T88:U88"/>
    <mergeCell ref="V88:W88"/>
    <mergeCell ref="X88:Y88"/>
    <mergeCell ref="Z88:AA88"/>
    <mergeCell ref="AB88:AD88"/>
    <mergeCell ref="AE88:AG88"/>
    <mergeCell ref="AH88:AJ88"/>
    <mergeCell ref="AK87:AL87"/>
    <mergeCell ref="AM87:AO87"/>
    <mergeCell ref="AP87:AR87"/>
    <mergeCell ref="AS87:AU87"/>
    <mergeCell ref="AB89:AD89"/>
    <mergeCell ref="AE89:AG89"/>
    <mergeCell ref="AH89:AJ89"/>
    <mergeCell ref="BB88:BD88"/>
    <mergeCell ref="B89:D89"/>
    <mergeCell ref="E89:G89"/>
    <mergeCell ref="H89:J89"/>
    <mergeCell ref="P89:Q89"/>
    <mergeCell ref="R89:S89"/>
    <mergeCell ref="T89:U89"/>
    <mergeCell ref="V89:W89"/>
    <mergeCell ref="X89:Y89"/>
    <mergeCell ref="Z89:AA89"/>
    <mergeCell ref="AK88:AL88"/>
    <mergeCell ref="AM88:AO88"/>
    <mergeCell ref="AP88:AR88"/>
    <mergeCell ref="AS88:AU88"/>
    <mergeCell ref="AV88:AX88"/>
    <mergeCell ref="AY88:BA88"/>
    <mergeCell ref="AS89:AU89"/>
    <mergeCell ref="AV89:AX89"/>
    <mergeCell ref="AY89:BA89"/>
    <mergeCell ref="BB91:BD91"/>
    <mergeCell ref="AK91:AL91"/>
    <mergeCell ref="AP91:AR91"/>
    <mergeCell ref="AV91:AX91"/>
    <mergeCell ref="AY91:BA91"/>
    <mergeCell ref="P90:Q90"/>
    <mergeCell ref="R90:S90"/>
    <mergeCell ref="T90:U90"/>
    <mergeCell ref="AS91:AU91"/>
    <mergeCell ref="AB91:AD91"/>
    <mergeCell ref="AE91:AG91"/>
    <mergeCell ref="AH91:AJ91"/>
    <mergeCell ref="BB90:BD90"/>
    <mergeCell ref="P91:Q91"/>
    <mergeCell ref="R91:S91"/>
    <mergeCell ref="T91:U91"/>
    <mergeCell ref="V91:W91"/>
    <mergeCell ref="X91:Y91"/>
    <mergeCell ref="Z91:AA91"/>
    <mergeCell ref="AK90:AL90"/>
    <mergeCell ref="AM90:AO90"/>
    <mergeCell ref="AP90:AR90"/>
    <mergeCell ref="AS90:AU90"/>
    <mergeCell ref="AV90:AX90"/>
    <mergeCell ref="AM91:AO91"/>
    <mergeCell ref="X90:Y90"/>
    <mergeCell ref="Z90:AA90"/>
    <mergeCell ref="AB90:AD90"/>
    <mergeCell ref="AE90:AG90"/>
    <mergeCell ref="AH90:AJ90"/>
    <mergeCell ref="AY90:BA90"/>
    <mergeCell ref="V90:W90"/>
    <mergeCell ref="B91:D91"/>
    <mergeCell ref="E91:G91"/>
    <mergeCell ref="H91:J91"/>
    <mergeCell ref="A133:C133"/>
    <mergeCell ref="A138:C139"/>
    <mergeCell ref="A140:C140"/>
    <mergeCell ref="A141:C141"/>
    <mergeCell ref="A142:C142"/>
    <mergeCell ref="A47:C47"/>
    <mergeCell ref="A130:C130"/>
    <mergeCell ref="A131:C131"/>
    <mergeCell ref="A93:A108"/>
    <mergeCell ref="A48:BE64"/>
    <mergeCell ref="A132:C132"/>
    <mergeCell ref="F111:H111"/>
    <mergeCell ref="I111:K111"/>
    <mergeCell ref="U111:U120"/>
    <mergeCell ref="V111:X111"/>
    <mergeCell ref="Y111:AA111"/>
    <mergeCell ref="F115:H115"/>
    <mergeCell ref="I115:K115"/>
    <mergeCell ref="AB101:AC101"/>
    <mergeCell ref="F119:H119"/>
    <mergeCell ref="AB111:AD111"/>
    <mergeCell ref="AE111:AG111"/>
    <mergeCell ref="AH111:AJ114"/>
    <mergeCell ref="B108:E108"/>
    <mergeCell ref="AN114:AQ114"/>
    <mergeCell ref="AR114:AT114"/>
    <mergeCell ref="AB102:AC102"/>
    <mergeCell ref="AB100:AC100"/>
    <mergeCell ref="AB115:AD115"/>
    <mergeCell ref="A164:B164"/>
    <mergeCell ref="A163:C163"/>
    <mergeCell ref="A143:A146"/>
    <mergeCell ref="B143:C143"/>
    <mergeCell ref="B144:C144"/>
    <mergeCell ref="B145:C145"/>
    <mergeCell ref="B146:C146"/>
    <mergeCell ref="A147:A149"/>
    <mergeCell ref="B147:C147"/>
    <mergeCell ref="B148:C148"/>
    <mergeCell ref="B149:C149"/>
    <mergeCell ref="A156:E156"/>
    <mergeCell ref="F156:J156"/>
    <mergeCell ref="A157:E157"/>
    <mergeCell ref="A159:E159"/>
    <mergeCell ref="F159:J159"/>
    <mergeCell ref="A160:E160"/>
    <mergeCell ref="B179:C179"/>
    <mergeCell ref="M189:P189"/>
    <mergeCell ref="R189:S189"/>
    <mergeCell ref="T189:V189"/>
    <mergeCell ref="W189:Z189"/>
    <mergeCell ref="AB189:AC189"/>
    <mergeCell ref="A170:B170"/>
    <mergeCell ref="A172:B172"/>
    <mergeCell ref="A173:B173"/>
    <mergeCell ref="A174:B174"/>
    <mergeCell ref="A177:B177"/>
    <mergeCell ref="B178:C178"/>
    <mergeCell ref="R191:S191"/>
    <mergeCell ref="T191:V191"/>
    <mergeCell ref="A194:D194"/>
    <mergeCell ref="F194:I194"/>
    <mergeCell ref="A199:C199"/>
    <mergeCell ref="D199:F199"/>
    <mergeCell ref="G199:I199"/>
    <mergeCell ref="J199:L199"/>
    <mergeCell ref="A202:C202"/>
    <mergeCell ref="D202:F202"/>
    <mergeCell ref="G202:I202"/>
    <mergeCell ref="J202:L202"/>
    <mergeCell ref="A203:C203"/>
    <mergeCell ref="D203:F203"/>
    <mergeCell ref="G203:I203"/>
    <mergeCell ref="J203:L203"/>
    <mergeCell ref="A208:C208"/>
    <mergeCell ref="D208:F208"/>
    <mergeCell ref="G208:I208"/>
    <mergeCell ref="J208:L208"/>
    <mergeCell ref="AD189:AF189"/>
    <mergeCell ref="M190:P190"/>
    <mergeCell ref="R190:S190"/>
    <mergeCell ref="T190:V190"/>
    <mergeCell ref="W190:Z190"/>
    <mergeCell ref="AB190:AC190"/>
    <mergeCell ref="AD190:AF190"/>
    <mergeCell ref="A200:C200"/>
    <mergeCell ref="D200:F200"/>
    <mergeCell ref="G200:I200"/>
    <mergeCell ref="J200:L200"/>
    <mergeCell ref="A201:C201"/>
    <mergeCell ref="D201:F201"/>
    <mergeCell ref="G201:I201"/>
    <mergeCell ref="J201:L201"/>
    <mergeCell ref="M191:P191"/>
    <mergeCell ref="A206:C206"/>
    <mergeCell ref="D206:F206"/>
    <mergeCell ref="G206:I206"/>
    <mergeCell ref="J206:L206"/>
    <mergeCell ref="AL105:AM105"/>
    <mergeCell ref="AE118:AG118"/>
    <mergeCell ref="AH103:AI103"/>
    <mergeCell ref="AF104:AG104"/>
    <mergeCell ref="AH104:AI104"/>
    <mergeCell ref="AF105:AG105"/>
    <mergeCell ref="AH105:AI105"/>
    <mergeCell ref="I116:K116"/>
    <mergeCell ref="I104:K104"/>
    <mergeCell ref="I105:K105"/>
    <mergeCell ref="I117:K117"/>
    <mergeCell ref="V117:X117"/>
    <mergeCell ref="Y117:AA117"/>
    <mergeCell ref="AE115:AG115"/>
    <mergeCell ref="AH115:AJ115"/>
    <mergeCell ref="D207:F207"/>
    <mergeCell ref="G207:I207"/>
    <mergeCell ref="J207:L207"/>
    <mergeCell ref="AJ107:AM107"/>
    <mergeCell ref="AB107:AE107"/>
    <mergeCell ref="AF107:AI107"/>
    <mergeCell ref="AJ106:AM106"/>
    <mergeCell ref="O121:Q121"/>
    <mergeCell ref="F120:H120"/>
    <mergeCell ref="I120:K120"/>
    <mergeCell ref="V120:X120"/>
    <mergeCell ref="Y120:AA120"/>
    <mergeCell ref="F113:H113"/>
    <mergeCell ref="I113:K113"/>
    <mergeCell ref="V113:X113"/>
    <mergeCell ref="Y113:AA113"/>
    <mergeCell ref="AF103:AG103"/>
    <mergeCell ref="AR115:AT115"/>
    <mergeCell ref="AM111:AM115"/>
    <mergeCell ref="AN111:AQ111"/>
    <mergeCell ref="AB105:AC105"/>
    <mergeCell ref="AN112:AQ112"/>
    <mergeCell ref="AR112:AT112"/>
    <mergeCell ref="AB113:AD113"/>
    <mergeCell ref="AE113:AG113"/>
    <mergeCell ref="AN113:AQ113"/>
    <mergeCell ref="AR113:AT113"/>
    <mergeCell ref="AB114:AD114"/>
    <mergeCell ref="F96:H96"/>
    <mergeCell ref="F104:H104"/>
    <mergeCell ref="F103:H103"/>
    <mergeCell ref="F102:H102"/>
    <mergeCell ref="P94:R94"/>
    <mergeCell ref="P95:R95"/>
    <mergeCell ref="P100:R100"/>
    <mergeCell ref="P101:R101"/>
    <mergeCell ref="P102:R102"/>
    <mergeCell ref="P103:R103"/>
    <mergeCell ref="P104:R104"/>
    <mergeCell ref="I103:K103"/>
    <mergeCell ref="F108:H108"/>
    <mergeCell ref="F107:H107"/>
    <mergeCell ref="F106:H106"/>
    <mergeCell ref="F105:H105"/>
    <mergeCell ref="L107:O107"/>
    <mergeCell ref="L108:O108"/>
    <mergeCell ref="P105:R105"/>
    <mergeCell ref="P106:R106"/>
    <mergeCell ref="AJ105:AK105"/>
    <mergeCell ref="I107:K107"/>
    <mergeCell ref="I108:K108"/>
    <mergeCell ref="F99:H99"/>
    <mergeCell ref="F100:H100"/>
    <mergeCell ref="F101:H101"/>
    <mergeCell ref="L102:O102"/>
    <mergeCell ref="L103:O103"/>
    <mergeCell ref="F116:H116"/>
    <mergeCell ref="O120:Q120"/>
    <mergeCell ref="P107:R107"/>
    <mergeCell ref="P108:R108"/>
    <mergeCell ref="V100:AA100"/>
    <mergeCell ref="V101:AA101"/>
    <mergeCell ref="AE120:AG120"/>
    <mergeCell ref="AH120:AJ120"/>
    <mergeCell ref="I119:K119"/>
    <mergeCell ref="V119:X119"/>
    <mergeCell ref="Y119:AA119"/>
    <mergeCell ref="AB119:AD119"/>
    <mergeCell ref="AE119:AG119"/>
    <mergeCell ref="AH119:AJ119"/>
    <mergeCell ref="AF102:AG102"/>
    <mergeCell ref="AH102:AI102"/>
    <mergeCell ref="AF106:AI106"/>
    <mergeCell ref="AN117:AQ117"/>
    <mergeCell ref="F112:H112"/>
    <mergeCell ref="I112:J112"/>
    <mergeCell ref="V112:X112"/>
    <mergeCell ref="Y112:Z112"/>
    <mergeCell ref="AB112:AC112"/>
    <mergeCell ref="AE112:AF112"/>
    <mergeCell ref="F114:H114"/>
    <mergeCell ref="I114:K114"/>
    <mergeCell ref="AE114:AG114"/>
    <mergeCell ref="AB116:AD116"/>
    <mergeCell ref="AE116:AG116"/>
    <mergeCell ref="AH116:AJ116"/>
    <mergeCell ref="F118:H118"/>
    <mergeCell ref="I118:K118"/>
    <mergeCell ref="V118:X118"/>
    <mergeCell ref="Y118:AA118"/>
    <mergeCell ref="AB118:AD118"/>
    <mergeCell ref="V116:X116"/>
    <mergeCell ref="Y116:AA116"/>
    <mergeCell ref="V115:X115"/>
    <mergeCell ref="Y115:AA115"/>
    <mergeCell ref="AH118:AJ118"/>
    <mergeCell ref="F117:H117"/>
    <mergeCell ref="V114:X114"/>
    <mergeCell ref="Y114:AA114"/>
    <mergeCell ref="AN115:AQ115"/>
    <mergeCell ref="AR122:AS122"/>
    <mergeCell ref="AT122:AX122"/>
    <mergeCell ref="AY117:AZ117"/>
    <mergeCell ref="AY118:AZ118"/>
    <mergeCell ref="AY119:AZ119"/>
    <mergeCell ref="AY120:AZ120"/>
    <mergeCell ref="AY121:AZ121"/>
    <mergeCell ref="AY122:AZ122"/>
    <mergeCell ref="AR123:AS123"/>
    <mergeCell ref="AT123:AX123"/>
    <mergeCell ref="AY123:AZ123"/>
    <mergeCell ref="AR117:AS117"/>
    <mergeCell ref="AR118:AS118"/>
    <mergeCell ref="AR119:AS119"/>
    <mergeCell ref="AR120:AS120"/>
    <mergeCell ref="F121:H121"/>
    <mergeCell ref="I121:K121"/>
    <mergeCell ref="AT119:AX119"/>
    <mergeCell ref="AT120:AX120"/>
    <mergeCell ref="AT121:AX121"/>
    <mergeCell ref="AB117:AD117"/>
    <mergeCell ref="AE117:AG117"/>
    <mergeCell ref="AH117:AJ117"/>
    <mergeCell ref="AT117:AX117"/>
    <mergeCell ref="AT118:AX118"/>
    <mergeCell ref="L118:N118"/>
    <mergeCell ref="L119:N119"/>
    <mergeCell ref="L120:N120"/>
    <mergeCell ref="L121:N121"/>
    <mergeCell ref="O118:Q118"/>
    <mergeCell ref="O119:Q119"/>
    <mergeCell ref="AB120:AD120"/>
    <mergeCell ref="E111:E122"/>
    <mergeCell ref="F122:H122"/>
    <mergeCell ref="I122:K122"/>
    <mergeCell ref="L122:N122"/>
    <mergeCell ref="O122:Q122"/>
    <mergeCell ref="BG93:BJ93"/>
    <mergeCell ref="AZ97:BC97"/>
    <mergeCell ref="AR111:AT111"/>
    <mergeCell ref="AX103:AY103"/>
    <mergeCell ref="AV104:AW104"/>
    <mergeCell ref="AX104:AY104"/>
    <mergeCell ref="AV105:AW105"/>
    <mergeCell ref="AX105:AY105"/>
    <mergeCell ref="AV106:AY106"/>
    <mergeCell ref="AV93:AY93"/>
    <mergeCell ref="AV94:AY94"/>
    <mergeCell ref="AV95:AY95"/>
    <mergeCell ref="AV96:AY96"/>
    <mergeCell ref="AV98:AY98"/>
    <mergeCell ref="AV99:AX99"/>
    <mergeCell ref="AV100:AW100"/>
    <mergeCell ref="AX100:AY100"/>
    <mergeCell ref="AV97:AY97"/>
    <mergeCell ref="AT102:AU102"/>
    <mergeCell ref="AN118:AQ118"/>
    <mergeCell ref="AN119:AQ119"/>
    <mergeCell ref="AN120:AQ120"/>
    <mergeCell ref="AN121:AQ121"/>
    <mergeCell ref="AN122:AQ122"/>
    <mergeCell ref="AM117:AM123"/>
    <mergeCell ref="AN123:AQ123"/>
    <mergeCell ref="AR121:AS121"/>
    <mergeCell ref="L212:O212"/>
    <mergeCell ref="A213:C213"/>
    <mergeCell ref="L213:O213"/>
    <mergeCell ref="A214:C214"/>
    <mergeCell ref="L214:O214"/>
    <mergeCell ref="Y214:AA214"/>
    <mergeCell ref="A215:C215"/>
    <mergeCell ref="L215:O215"/>
    <mergeCell ref="Y215:AA215"/>
    <mergeCell ref="A216:C216"/>
    <mergeCell ref="Y216:AA216"/>
    <mergeCell ref="A218:C218"/>
    <mergeCell ref="A219:C219"/>
    <mergeCell ref="AI124:AJ124"/>
    <mergeCell ref="AI125:AJ125"/>
    <mergeCell ref="X124:Z124"/>
    <mergeCell ref="X125:Z125"/>
    <mergeCell ref="X126:Z126"/>
    <mergeCell ref="AA126:AB126"/>
    <mergeCell ref="AC126:AD126"/>
    <mergeCell ref="AE126:AF126"/>
    <mergeCell ref="AG126:AH126"/>
    <mergeCell ref="AI126:AJ126"/>
    <mergeCell ref="AA125:AB125"/>
    <mergeCell ref="AC125:AD125"/>
    <mergeCell ref="AE125:AF125"/>
    <mergeCell ref="AG125:AH125"/>
    <mergeCell ref="AA124:AB124"/>
    <mergeCell ref="AC124:AD124"/>
    <mergeCell ref="AE124:AF124"/>
    <mergeCell ref="AG124:AH124"/>
    <mergeCell ref="A207:C207"/>
    <mergeCell ref="A236:C236"/>
    <mergeCell ref="A237:C237"/>
    <mergeCell ref="A238:C238"/>
    <mergeCell ref="A239:C239"/>
    <mergeCell ref="A240:C240"/>
    <mergeCell ref="A241:C241"/>
    <mergeCell ref="A242:C242"/>
    <mergeCell ref="A243:C243"/>
    <mergeCell ref="A13:C13"/>
    <mergeCell ref="A220:B220"/>
    <mergeCell ref="C220:C221"/>
    <mergeCell ref="A221:B221"/>
    <mergeCell ref="A222:C222"/>
    <mergeCell ref="A223:C223"/>
    <mergeCell ref="A224:C224"/>
    <mergeCell ref="A225:C225"/>
    <mergeCell ref="A226:C226"/>
    <mergeCell ref="A227:C227"/>
    <mergeCell ref="A228:C228"/>
    <mergeCell ref="A229:C229"/>
    <mergeCell ref="A230:C230"/>
    <mergeCell ref="A233:C233"/>
    <mergeCell ref="B234:C234"/>
    <mergeCell ref="B235:C235"/>
    <mergeCell ref="A25:C25"/>
    <mergeCell ref="A26:C26"/>
    <mergeCell ref="A27:C27"/>
    <mergeCell ref="A212:C212"/>
    <mergeCell ref="A169:C169"/>
    <mergeCell ref="A167:B167"/>
    <mergeCell ref="A166:B166"/>
    <mergeCell ref="A165:B165"/>
  </mergeCells>
  <phoneticPr fontId="1"/>
  <conditionalFormatting sqref="D2 H4:I4 N4 S28:BE30 AX31 BA31 S31:AA33 AG31:AO33 AX33 D43:G44 I43:R44 AS43:AY44 W43:Y45 AD43:AN45 D67 D71:R71 Y71:AA76 S74 AZ75 D75:R76 V77:AA77 H89:J91 AB96:AB97 AF96:AF97 AJ96:AJ97 AN96:AN97 AR96:AR97 AV96:AV97 AZ96:AZ97 AB106:AB107 AH115 AR115 AR117:AR121 AY117:AY121 I118 AH118 Y118:AG119 I120:Q121">
    <cfRule type="expression" dxfId="100" priority="116">
      <formula>IF($V$2="カラー","TRUE","FALSE")</formula>
    </cfRule>
  </conditionalFormatting>
  <conditionalFormatting sqref="D221">
    <cfRule type="expression" dxfId="99" priority="13" stopIfTrue="1">
      <formula>IF(NOT(#REF!=""),TRUE,FALSE)</formula>
    </cfRule>
    <cfRule type="expression" priority="14" stopIfTrue="1">
      <formula>#REF!=""</formula>
    </cfRule>
  </conditionalFormatting>
  <conditionalFormatting sqref="D213:H216">
    <cfRule type="expression" dxfId="98" priority="11">
      <formula>IF(#REF!="カラー","TRUE","FALSE")</formula>
    </cfRule>
  </conditionalFormatting>
  <conditionalFormatting sqref="D78:R78">
    <cfRule type="expression" dxfId="97" priority="105">
      <formula>IF($V$2="カラー","TRUE","FALSE")</formula>
    </cfRule>
  </conditionalFormatting>
  <conditionalFormatting sqref="D230:AQ230">
    <cfRule type="expression" dxfId="96" priority="6">
      <formula>IF(#REF!="カラー","TRUE","FALSE")</formula>
    </cfRule>
    <cfRule type="cellIs" dxfId="95" priority="7" operator="equal">
      <formula>0</formula>
    </cfRule>
  </conditionalFormatting>
  <conditionalFormatting sqref="E219:AQ219">
    <cfRule type="cellIs" dxfId="94" priority="12" operator="equal">
      <formula>0</formula>
    </cfRule>
  </conditionalFormatting>
  <conditionalFormatting sqref="E219:AQ230">
    <cfRule type="expression" dxfId="93" priority="2">
      <formula>IF(#REF!="カラー","TRUE","FALSE")</formula>
    </cfRule>
  </conditionalFormatting>
  <conditionalFormatting sqref="E223:AQ230">
    <cfRule type="cellIs" dxfId="92" priority="3" operator="equal">
      <formula>0</formula>
    </cfRule>
  </conditionalFormatting>
  <conditionalFormatting sqref="G79:R79">
    <cfRule type="expression" dxfId="91" priority="104">
      <formula>IF($V$2="カラー","TRUE","FALSE")</formula>
    </cfRule>
  </conditionalFormatting>
  <conditionalFormatting sqref="I216">
    <cfRule type="expression" dxfId="90" priority="9">
      <formula>IF(#REF!="カラー","TRUE","FALSE")</formula>
    </cfRule>
  </conditionalFormatting>
  <conditionalFormatting sqref="J213:J216">
    <cfRule type="expression" dxfId="89" priority="10">
      <formula>IF(#REF!="カラー","TRUE","FALSE")</formula>
    </cfRule>
  </conditionalFormatting>
  <conditionalFormatting sqref="L118">
    <cfRule type="expression" dxfId="88" priority="94">
      <formula>IF($V$2="カラー","TRUE","FALSE")</formula>
    </cfRule>
  </conditionalFormatting>
  <conditionalFormatting sqref="O118">
    <cfRule type="expression" dxfId="87" priority="93">
      <formula>IF($V$2="カラー","TRUE","FALSE")</formula>
    </cfRule>
  </conditionalFormatting>
  <conditionalFormatting sqref="R252:W359">
    <cfRule type="expression" dxfId="86" priority="17">
      <formula>IF($V$2="カラー","TRUE","FALSE")</formula>
    </cfRule>
  </conditionalFormatting>
  <conditionalFormatting sqref="R84:AA91">
    <cfRule type="expression" dxfId="85" priority="1">
      <formula>IF($V$2="カラー","TRUE","FALSE")</formula>
    </cfRule>
  </conditionalFormatting>
  <conditionalFormatting sqref="S4:BE4">
    <cfRule type="expression" dxfId="84" priority="115">
      <formula>IF($V$2="カラー","TRUE","FALSE")</formula>
    </cfRule>
  </conditionalFormatting>
  <conditionalFormatting sqref="S12:BE13">
    <cfRule type="expression" dxfId="83" priority="1582">
      <formula>S12&gt;#REF!</formula>
    </cfRule>
  </conditionalFormatting>
  <conditionalFormatting sqref="S14:BE14">
    <cfRule type="cellIs" dxfId="82" priority="1594" operator="greaterThan">
      <formula>#REF!</formula>
    </cfRule>
    <cfRule type="expression" priority="1593" stopIfTrue="1">
      <formula>S$14=""</formula>
    </cfRule>
    <cfRule type="expression" dxfId="81" priority="1592" stopIfTrue="1">
      <formula>IF(NOT(S$15=""),TRUE,FALSE)</formula>
    </cfRule>
  </conditionalFormatting>
  <conditionalFormatting sqref="S15:BE15">
    <cfRule type="cellIs" dxfId="80" priority="1597" operator="greaterThan">
      <formula>#REF!</formula>
    </cfRule>
    <cfRule type="expression" priority="1596" stopIfTrue="1">
      <formula>S$15=""</formula>
    </cfRule>
    <cfRule type="expression" dxfId="79" priority="1595" stopIfTrue="1">
      <formula>IF(NOT(S$14=""),TRUE,FALSE)</formula>
    </cfRule>
  </conditionalFormatting>
  <conditionalFormatting sqref="S16:BE16">
    <cfRule type="expression" priority="1583" stopIfTrue="1">
      <formula>S16=""</formula>
    </cfRule>
    <cfRule type="cellIs" dxfId="78" priority="1584" operator="greaterThan">
      <formula>#REF!</formula>
    </cfRule>
  </conditionalFormatting>
  <conditionalFormatting sqref="S17:BE17">
    <cfRule type="cellIs" dxfId="77" priority="1591" operator="greaterThan">
      <formula>#REF!</formula>
    </cfRule>
    <cfRule type="expression" priority="1590" stopIfTrue="1">
      <formula>S$17=""</formula>
    </cfRule>
  </conditionalFormatting>
  <conditionalFormatting sqref="S18:BE18">
    <cfRule type="cellIs" dxfId="76" priority="1599" operator="greaterThan">
      <formula>#REF!</formula>
    </cfRule>
    <cfRule type="expression" priority="1598" stopIfTrue="1">
      <formula>S$18=""</formula>
    </cfRule>
  </conditionalFormatting>
  <conditionalFormatting sqref="S20:BE21">
    <cfRule type="cellIs" dxfId="75" priority="1585" operator="lessThan">
      <formula>#REF!</formula>
    </cfRule>
  </conditionalFormatting>
  <conditionalFormatting sqref="S20:BE23">
    <cfRule type="expression" dxfId="74" priority="102">
      <formula>IF($V$2="カラー","TRUE","FALSE")</formula>
    </cfRule>
  </conditionalFormatting>
  <conditionalFormatting sqref="S24:BE27">
    <cfRule type="expression" dxfId="73" priority="15">
      <formula>IF(#REF!="カラー","TRUE","FALSE")</formula>
    </cfRule>
  </conditionalFormatting>
  <conditionalFormatting sqref="Y138:Y139">
    <cfRule type="top10" dxfId="72" priority="124" percent="1" rank="33"/>
    <cfRule type="top10" dxfId="71" priority="123" percent="1" bottom="1" rank="33"/>
  </conditionalFormatting>
  <conditionalFormatting sqref="Z138:Z139 Z135">
    <cfRule type="top10" dxfId="70" priority="125" percent="1" bottom="1" rank="33"/>
    <cfRule type="top10" dxfId="69" priority="126" percent="1" rank="33"/>
  </conditionalFormatting>
  <conditionalFormatting sqref="AA138:AA139 AA135">
    <cfRule type="top10" dxfId="68" priority="127" percent="1" bottom="1" rank="33"/>
    <cfRule type="top10" dxfId="67" priority="128" percent="1" rank="33"/>
  </conditionalFormatting>
  <conditionalFormatting sqref="AB138:AB139 AB135">
    <cfRule type="top10" dxfId="66" priority="141" percent="1" bottom="1" rank="33"/>
    <cfRule type="top10" dxfId="65" priority="142" percent="1" rank="33"/>
  </conditionalFormatting>
  <conditionalFormatting sqref="AC138:AC139 AC135">
    <cfRule type="top10" dxfId="64" priority="140" percent="1" rank="33"/>
    <cfRule type="top10" dxfId="63" priority="139" percent="1" bottom="1" rank="33"/>
  </conditionalFormatting>
  <conditionalFormatting sqref="AC252:AH359">
    <cfRule type="expression" dxfId="62" priority="16">
      <formula>IF($V$2="カラー","TRUE","FALSE")</formula>
    </cfRule>
  </conditionalFormatting>
  <conditionalFormatting sqref="AD138:AD139 AD135">
    <cfRule type="top10" dxfId="61" priority="143" percent="1" bottom="1" rank="33"/>
    <cfRule type="top10" dxfId="60" priority="144" percent="1" rank="33"/>
  </conditionalFormatting>
  <conditionalFormatting sqref="AE138:AE139 AE135">
    <cfRule type="top10" dxfId="59" priority="145" percent="1" bottom="1" rank="33"/>
    <cfRule type="top10" dxfId="58" priority="146" percent="1" rank="33"/>
  </conditionalFormatting>
  <conditionalFormatting sqref="AF106:AF107">
    <cfRule type="expression" dxfId="57" priority="100">
      <formula>IF($V$2="カラー","TRUE","FALSE")</formula>
    </cfRule>
  </conditionalFormatting>
  <conditionalFormatting sqref="AF138:AF139 AF135">
    <cfRule type="top10" dxfId="56" priority="148" percent="1" rank="33"/>
    <cfRule type="top10" dxfId="55" priority="147" percent="1" bottom="1" rank="33"/>
  </conditionalFormatting>
  <conditionalFormatting sqref="AG138:AG139 AG135">
    <cfRule type="top10" dxfId="54" priority="150" percent="1" rank="33"/>
    <cfRule type="top10" dxfId="53" priority="149" percent="1" bottom="1" rank="33"/>
  </conditionalFormatting>
  <conditionalFormatting sqref="AH138:AH139 AH135">
    <cfRule type="top10" dxfId="52" priority="152" percent="1" rank="33"/>
    <cfRule type="top10" dxfId="51" priority="151" percent="1" bottom="1" rank="33"/>
  </conditionalFormatting>
  <conditionalFormatting sqref="AI138:AI139 AI135">
    <cfRule type="top10" dxfId="50" priority="153" percent="1" bottom="1" rank="33"/>
    <cfRule type="top10" dxfId="49" priority="154" percent="1" rank="33"/>
  </conditionalFormatting>
  <conditionalFormatting sqref="AJ106:AJ107">
    <cfRule type="expression" dxfId="48" priority="99">
      <formula>IF($V$2="カラー","TRUE","FALSE")</formula>
    </cfRule>
  </conditionalFormatting>
  <conditionalFormatting sqref="AJ138:AJ139 AJ135">
    <cfRule type="top10" dxfId="47" priority="156" percent="1" rank="33"/>
    <cfRule type="top10" dxfId="46" priority="155" percent="1" bottom="1" rank="33"/>
  </conditionalFormatting>
  <conditionalFormatting sqref="AK138:AK139 AK135">
    <cfRule type="top10" dxfId="45" priority="157" percent="1" bottom="1" rank="33"/>
    <cfRule type="top10" dxfId="44" priority="158" percent="1" rank="33"/>
  </conditionalFormatting>
  <conditionalFormatting sqref="AL138:AL139 AL135">
    <cfRule type="top10" dxfId="43" priority="159" percent="1" bottom="1" rank="33"/>
    <cfRule type="top10" dxfId="42" priority="160" percent="1" rank="33"/>
  </conditionalFormatting>
  <conditionalFormatting sqref="AM138:AM139 AM135">
    <cfRule type="top10" dxfId="41" priority="161" percent="1" bottom="1" rank="33"/>
    <cfRule type="top10" dxfId="40" priority="162" percent="1" rank="33"/>
  </conditionalFormatting>
  <conditionalFormatting sqref="AN106:AN107">
    <cfRule type="expression" dxfId="39" priority="98">
      <formula>IF($V$2="カラー","TRUE","FALSE")</formula>
    </cfRule>
  </conditionalFormatting>
  <conditionalFormatting sqref="AN138:AN139 AN135">
    <cfRule type="top10" dxfId="38" priority="163" percent="1" bottom="1" rank="33"/>
    <cfRule type="top10" dxfId="37" priority="164" percent="1" rank="33"/>
  </conditionalFormatting>
  <conditionalFormatting sqref="AO138:AO139 AO135">
    <cfRule type="top10" dxfId="36" priority="165" percent="1" bottom="1" rank="33"/>
    <cfRule type="top10" dxfId="35" priority="166" percent="1" rank="33"/>
  </conditionalFormatting>
  <conditionalFormatting sqref="AO252:AT259">
    <cfRule type="expression" dxfId="34" priority="50">
      <formula>IF($V$2="カラー","TRUE","FALSE")</formula>
    </cfRule>
  </conditionalFormatting>
  <conditionalFormatting sqref="AP138:AP139 AP135">
    <cfRule type="top10" dxfId="33" priority="167" percent="1" bottom="1" rank="33"/>
    <cfRule type="top10" dxfId="32" priority="168" percent="1" rank="33"/>
  </conditionalFormatting>
  <conditionalFormatting sqref="AQ138:AQ139 AQ135">
    <cfRule type="top10" dxfId="31" priority="169" percent="1" bottom="1" rank="33"/>
    <cfRule type="top10" dxfId="30" priority="170" percent="1" rank="33"/>
  </conditionalFormatting>
  <conditionalFormatting sqref="AR106:AR107">
    <cfRule type="expression" dxfId="29" priority="97">
      <formula>IF($V$2="カラー","TRUE","FALSE")</formula>
    </cfRule>
  </conditionalFormatting>
  <conditionalFormatting sqref="AR113">
    <cfRule type="expression" dxfId="28" priority="101">
      <formula>IF($V$2="カラー","TRUE","FALSE")</formula>
    </cfRule>
  </conditionalFormatting>
  <conditionalFormatting sqref="AR138:AR139 AR135">
    <cfRule type="top10" dxfId="27" priority="171" percent="1" bottom="1" rank="33"/>
    <cfRule type="top10" dxfId="26" priority="172" percent="1" rank="33"/>
  </conditionalFormatting>
  <conditionalFormatting sqref="AS138:AS139 AS135">
    <cfRule type="top10" dxfId="25" priority="173" percent="1" bottom="1" rank="33"/>
    <cfRule type="top10" dxfId="24" priority="174" percent="1" rank="33"/>
  </conditionalFormatting>
  <conditionalFormatting sqref="AT138:AT139 AT135">
    <cfRule type="top10" dxfId="23" priority="175" percent="1" bottom="1" rank="33"/>
    <cfRule type="top10" dxfId="22" priority="176" percent="1" rank="33"/>
  </conditionalFormatting>
  <conditionalFormatting sqref="AU138:AU139 AU135">
    <cfRule type="top10" dxfId="21" priority="177" percent="1" bottom="1" rank="33"/>
    <cfRule type="top10" dxfId="20" priority="178" percent="1" rank="33"/>
  </conditionalFormatting>
  <conditionalFormatting sqref="AV106:AV107">
    <cfRule type="expression" dxfId="19" priority="96">
      <formula>IF($V$2="カラー","TRUE","FALSE")</formula>
    </cfRule>
  </conditionalFormatting>
  <conditionalFormatting sqref="AV138:AV139 AV135">
    <cfRule type="top10" dxfId="18" priority="179" percent="1" bottom="1" rank="33"/>
    <cfRule type="top10" dxfId="17" priority="180" percent="1" rank="33"/>
  </conditionalFormatting>
  <conditionalFormatting sqref="AW138:AW139 AW135">
    <cfRule type="top10" dxfId="16" priority="181" percent="1" bottom="1" rank="33"/>
    <cfRule type="top10" dxfId="15" priority="182" percent="1" rank="33"/>
  </conditionalFormatting>
  <conditionalFormatting sqref="AX138:AX139 AX135">
    <cfRule type="top10" dxfId="14" priority="184" percent="1" rank="33"/>
    <cfRule type="top10" dxfId="13" priority="183" percent="1" bottom="1" rank="33"/>
  </conditionalFormatting>
  <conditionalFormatting sqref="AY138:AY139 AY135">
    <cfRule type="top10" dxfId="12" priority="185" percent="1" bottom="1" rank="33"/>
    <cfRule type="top10" dxfId="11" priority="186" percent="1" rank="33"/>
  </conditionalFormatting>
  <conditionalFormatting sqref="AZ106">
    <cfRule type="expression" dxfId="10" priority="95">
      <formula>IF($V$2="カラー","TRUE","FALSE")</formula>
    </cfRule>
  </conditionalFormatting>
  <conditionalFormatting sqref="AZ138:AZ139 AZ135">
    <cfRule type="top10" dxfId="9" priority="187" percent="1" bottom="1" rank="33"/>
    <cfRule type="top10" dxfId="8" priority="188" percent="1" rank="33"/>
  </conditionalFormatting>
  <conditionalFormatting sqref="BA138:BA139 BA135">
    <cfRule type="top10" dxfId="7" priority="189" percent="1" bottom="1" rank="33"/>
    <cfRule type="top10" dxfId="6" priority="190" percent="1" rank="33"/>
  </conditionalFormatting>
  <conditionalFormatting sqref="BB138:BB139 BB135">
    <cfRule type="top10" dxfId="5" priority="191" percent="1" bottom="1" rank="33"/>
    <cfRule type="top10" dxfId="4" priority="192" percent="1" rank="33"/>
  </conditionalFormatting>
  <conditionalFormatting sqref="BC138:BC139 BC135">
    <cfRule type="top10" dxfId="3" priority="193" percent="1" bottom="1" rank="33"/>
    <cfRule type="top10" dxfId="2" priority="194" percent="1" rank="33"/>
  </conditionalFormatting>
  <conditionalFormatting sqref="BD138:BD139 BD135">
    <cfRule type="top10" dxfId="1" priority="195" percent="1" bottom="1" rank="33"/>
    <cfRule type="top10" dxfId="0" priority="196" percent="1" rank="33"/>
  </conditionalFormatting>
  <dataValidations count="48">
    <dataValidation type="date" operator="greaterThanOrEqual" allowBlank="1" showInputMessage="1" showErrorMessage="1" error="2000年以降の日付を入力してください。" sqref="D4:G4" xr:uid="{00000000-0002-0000-0300-000000000000}">
      <formula1>1</formula1>
    </dataValidation>
    <dataValidation type="time" operator="lessThanOrEqual" allowBlank="1" showInputMessage="1" showErrorMessage="1" error="時刻（10:00など）を入力してください。" sqref="D5:BE5" xr:uid="{00000000-0002-0000-0300-000001000000}">
      <formula1>0.999305555555556</formula1>
    </dataValidation>
    <dataValidation type="decimal" allowBlank="1" showInputMessage="1" showErrorMessage="1" error="入力できる数字は-20～40までです。" sqref="D11:BE11" xr:uid="{00000000-0002-0000-0300-000002000000}">
      <formula1>-20</formula1>
      <formula2>40</formula2>
    </dataValidation>
    <dataValidation type="decimal" allowBlank="1" showInputMessage="1" showErrorMessage="1" error="入力できる数字は-10～30までです。" sqref="D12:BE13" xr:uid="{00000000-0002-0000-0300-000003000000}">
      <formula1>-10</formula1>
      <formula2>30</formula2>
    </dataValidation>
    <dataValidation type="decimal" allowBlank="1" showInputMessage="1" showErrorMessage="1" error="入力できる数字は3～20までです（３以下の場合は日本酒度のほうに記入してください）。" sqref="D14:BE14 D220" xr:uid="{00000000-0002-0000-0300-000004000000}">
      <formula1>3</formula1>
      <formula2>20</formula2>
    </dataValidation>
    <dataValidation type="decimal" allowBlank="1" showInputMessage="1" showErrorMessage="1" error="入力できる数字は0～22までです。" sqref="BB103 D16:BE16 AZ103 D222" xr:uid="{00000000-0002-0000-0300-000005000000}">
      <formula1>0</formula1>
      <formula2>22</formula2>
    </dataValidation>
    <dataValidation type="decimal" allowBlank="1" showInputMessage="1" showErrorMessage="1" error="入力できる数値は0～10までです。" sqref="D18:BE18" xr:uid="{00000000-0002-0000-0300-000006000000}">
      <formula1>0</formula1>
      <formula2>10</formula2>
    </dataValidation>
    <dataValidation type="decimal" allowBlank="1" showInputMessage="1" showErrorMessage="1" error="入力できる数値は0～10です。" sqref="D19:BE19 Y120:AG120 D17:BE17" xr:uid="{00000000-0002-0000-0300-000007000000}">
      <formula1>0</formula1>
      <formula2>10</formula2>
    </dataValidation>
    <dataValidation type="decimal" allowBlank="1" showInputMessage="1" showErrorMessage="1" error="入力できる数字は0～10000までです。" sqref="M75:M76 P75:P76 S75:S76 D75:D76 AZ105 BB105 G75:G76 V77 J75:J76 M216 P216" xr:uid="{00000000-0002-0000-0300-000008000000}">
      <formula1>0</formula1>
      <formula2>10000</formula2>
    </dataValidation>
    <dataValidation type="decimal" allowBlank="1" showInputMessage="1" showErrorMessage="1" error="入力できる数字は0～100までです。" sqref="AZ95 AZ107 AE71:AG73" xr:uid="{00000000-0002-0000-0300-000009000000}">
      <formula1>0</formula1>
      <formula2>100</formula2>
    </dataValidation>
    <dataValidation type="decimal" allowBlank="1" showInputMessage="1" showErrorMessage="1" error="入力できる数字は-30～30までです。" sqref="AZ104 BB104" xr:uid="{00000000-0002-0000-0300-00000A000000}">
      <formula1>-30</formula1>
      <formula2>30</formula2>
    </dataValidation>
    <dataValidation type="decimal" allowBlank="1" showInputMessage="1" showErrorMessage="1" sqref="AZ94:BC94 F228:AQ228 D229 E228:E229" xr:uid="{00000000-0002-0000-0300-00000B000000}">
      <formula1>0</formula1>
      <formula2>10000000000</formula2>
    </dataValidation>
    <dataValidation type="list" allowBlank="1" showInputMessage="1" showErrorMessage="1" sqref="I32:M33" xr:uid="{00000000-0002-0000-0300-00000C000000}">
      <formula1>"補正する,しない"</formula1>
    </dataValidation>
    <dataValidation type="list" allowBlank="1" showInputMessage="1" showErrorMessage="1" sqref="I31:L31" xr:uid="{00000000-0002-0000-0300-00000D000000}">
      <formula1>"1,2,3,4,5"</formula1>
    </dataValidation>
    <dataValidation type="decimal" allowBlank="1" showInputMessage="1" showErrorMessage="1" error="入力できる数字は-30～30までです（-30以下の場合は、ボーメのほうに記入してください）。" sqref="BE14 D15:BD15 D221" xr:uid="{00000000-0002-0000-0300-00000E000000}">
      <formula1>-30</formula1>
      <formula2>30</formula2>
    </dataValidation>
    <dataValidation type="decimal" allowBlank="1" showInputMessage="1" showErrorMessage="1" error="入力できる数字は0～20000までです。" sqref="AZ71:BB75" xr:uid="{00000000-0002-0000-0300-00000F000000}">
      <formula1>0</formula1>
      <formula2>20000</formula2>
    </dataValidation>
    <dataValidation allowBlank="1" showInputMessage="1" showErrorMessage="1" error="入力できる数字は0～5までです。" sqref="I120:Q121" xr:uid="{00000000-0002-0000-0300-000010000000}"/>
    <dataValidation allowBlank="1" showInputMessage="1" showErrorMessage="1" error="入力できる数字は0～10000までです。" sqref="S74:U74 I216" xr:uid="{00000000-0002-0000-0300-000011000000}"/>
    <dataValidation type="list" allowBlank="1" showInputMessage="1" showErrorMessage="1" sqref="V2:Y2" xr:uid="{00000000-0002-0000-0300-000012000000}">
      <formula1>"カラー,グレースケール"</formula1>
    </dataValidation>
    <dataValidation type="decimal" allowBlank="1" showInputMessage="1" showErrorMessage="1" sqref="F107:H107" xr:uid="{A23691CF-9334-43B7-A899-A6751A222A3E}">
      <formula1>0</formula1>
      <formula2>10000000</formula2>
    </dataValidation>
    <dataValidation type="decimal" allowBlank="1" showInputMessage="1" showErrorMessage="1" sqref="AB101:AY101" xr:uid="{0036983B-3B3E-443E-97D0-6A532F923FCD}">
      <formula1>-10000000</formula1>
      <formula2>10000000</formula2>
    </dataValidation>
    <dataValidation type="decimal" allowBlank="1" showInputMessage="1" showErrorMessage="1" sqref="P96:R100" xr:uid="{1E168623-624B-487E-8916-109D879B9D50}">
      <formula1>-1000</formula1>
      <formula2>1000</formula2>
    </dataValidation>
    <dataValidation type="decimal" allowBlank="1" showInputMessage="1" showErrorMessage="1" sqref="P103:R103 P105:R105 P108:R109 F109:O109" xr:uid="{0823459D-D214-4520-8CE7-48E19A7D42EF}">
      <formula1>0</formula1>
      <formula2>1000000</formula2>
    </dataValidation>
    <dataValidation type="decimal" allowBlank="1" showInputMessage="1" showErrorMessage="1" sqref="R252:T351" xr:uid="{4E689B2F-151C-4EBA-BAEF-A519364E225B}">
      <formula1>0</formula1>
      <formula2>1000000000</formula2>
    </dataValidation>
    <dataValidation type="decimal" allowBlank="1" showInputMessage="1" showErrorMessage="1" sqref="U252:W351 AC252:AH351 AO252:AT259" xr:uid="{8A2AD4FC-A90B-48FF-865E-52DFB53665F1}">
      <formula1>0</formula1>
      <formula2>100</formula2>
    </dataValidation>
    <dataValidation type="decimal" allowBlank="1" showInputMessage="1" showErrorMessage="1" sqref="BC78:BE79" xr:uid="{AFD02FA0-04C8-4460-9F6F-C4CE9123BE78}">
      <formula1>0</formula1>
      <formula2>100000</formula2>
    </dataValidation>
    <dataValidation type="decimal" allowBlank="1" showInputMessage="1" showErrorMessage="1" error="入力できる数値は0~30です。" sqref="I114:Q114 I252:J351" xr:uid="{D9622DD7-01CB-48CC-B971-8BDCDBEFEC93}">
      <formula1>0</formula1>
      <formula2>30</formula2>
    </dataValidation>
    <dataValidation type="decimal" allowBlank="1" showInputMessage="1" showErrorMessage="1" error="入力できる数字は0～5までです。" sqref="I119:Q119" xr:uid="{A95192C4-17FC-434C-87E2-EE362F8AE892}">
      <formula1>0</formula1>
      <formula2>10</formula2>
    </dataValidation>
    <dataValidation type="decimal" allowBlank="1" showInputMessage="1" showErrorMessage="1" error="入力できる数値は0~20です。" sqref="G252:H351" xr:uid="{B2CF8F3A-C5A1-48ED-8AF1-BAFC6AA95D08}">
      <formula1>0</formula1>
      <formula2>20</formula2>
    </dataValidation>
    <dataValidation type="decimal" allowBlank="1" showInputMessage="1" showErrorMessage="1" error="入力できる数値は0～120です。" sqref="X252:Y351 AK84:AL91" xr:uid="{30AAF28F-7D4B-4EC9-9A32-48156ED1DBC4}">
      <formula1>0</formula1>
      <formula2>120</formula2>
    </dataValidation>
    <dataValidation type="decimal" allowBlank="1" showInputMessage="1" showErrorMessage="1" error="入力できる数字は0~100000です。" sqref="D7:BE8" xr:uid="{36DF6D12-37B2-48C4-A204-0E53E7FAB0AB}">
      <formula1>0</formula1>
      <formula2>100000</formula2>
    </dataValidation>
    <dataValidation type="decimal" allowBlank="1" showInputMessage="1" showErrorMessage="1" error="入力できる数値は0~1000です。" sqref="K252:N351" xr:uid="{BB0BCB6E-3FC4-4062-AD08-A3BB77275B35}">
      <formula1>0</formula1>
      <formula2>1000</formula2>
    </dataValidation>
    <dataValidation type="decimal" allowBlank="1" showInputMessage="1" showErrorMessage="1" error="入力できる数字は0～100000です。" sqref="E89:G91" xr:uid="{425C0CC6-87B1-4268-A3EF-33EC6496E74B}">
      <formula1>0</formula1>
      <formula2>100000</formula2>
    </dataValidation>
    <dataValidation type="decimal" allowBlank="1" showInputMessage="1" showErrorMessage="1" error="入力できる数値は0～100000です。" sqref="AO260:AT351 AB94:AY94 AR111:AT111 D72:R74 Z252:AB351 AL252:AN351 AI260:AK351 AM84:BD91" xr:uid="{D2F59137-F3CF-4F59-9E48-4BAD80F89FBB}">
      <formula1>0</formula1>
      <formula2>100000</formula2>
    </dataValidation>
    <dataValidation type="date" operator="greaterThan" allowBlank="1" showInputMessage="1" showErrorMessage="1" error="2024年１月１日以降の日付を入力してください。" sqref="N93:R93" xr:uid="{6E377ABF-3B52-44DE-97D1-D08ED6676C1C}">
      <formula1>1</formula1>
    </dataValidation>
    <dataValidation type="decimal" allowBlank="1" showInputMessage="1" showErrorMessage="1" error="入力できる数値は0~100000です。" sqref="AB105:AY105 I115:Q115 F95:K106 I107:K107 O252:Q351 Y115:AG115 AB84:AJ91" xr:uid="{1FB24857-F25D-44D8-98CD-C67DEB4E6A26}">
      <formula1>0</formula1>
      <formula2>100000</formula2>
    </dataValidation>
    <dataValidation type="date" operator="greaterThanOrEqual" allowBlank="1" showInputMessage="1" showErrorMessage="1" error="2024/1/1以降の日付を入力してください。" sqref="I111:Q111" xr:uid="{0DBC59AC-AE88-4C79-AEB7-ED29B0121C49}">
      <formula1>1</formula1>
    </dataValidation>
    <dataValidation type="decimal" allowBlank="1" showInputMessage="1" showErrorMessage="1" error="入力できる数値は0～22です。" sqref="I116:Q116 Y116:AG116" xr:uid="{B381FF3D-9ACB-4407-97CF-20D6EA340A1F}">
      <formula1>0</formula1>
      <formula2>22</formula2>
    </dataValidation>
    <dataValidation type="decimal" allowBlank="1" showInputMessage="1" showErrorMessage="1" error="入力できる数値は-100～30までです。" sqref="I117:Q117" xr:uid="{BE52044F-318E-4246-916B-DBC7B7F61CCD}">
      <formula1>-100</formula1>
      <formula2>30</formula2>
    </dataValidation>
    <dataValidation type="decimal" allowBlank="1" showInputMessage="1" showErrorMessage="1" error="入力できる数値は0～95です。" sqref="AB95:AY95" xr:uid="{6D0B4098-2207-4A43-8A3F-244AE5E24B1B}">
      <formula1>0</formula1>
      <formula2>95</formula2>
    </dataValidation>
    <dataValidation type="decimal" allowBlank="1" showInputMessage="1" showErrorMessage="1" error="入力できる数値は-10~40です。" sqref="AB102:AY102 Y114:AG114" xr:uid="{67E8D941-268E-4A10-8D6F-05EB7B7584AC}">
      <formula1>-10</formula1>
      <formula2>40</formula2>
    </dataValidation>
    <dataValidation type="decimal" allowBlank="1" showInputMessage="1" showErrorMessage="1" error="入力できる数値は0~95です。" sqref="AB103:AY103" xr:uid="{22897648-FD84-4552-9365-E32DADDFEB31}">
      <formula1>0</formula1>
      <formula2>95</formula2>
    </dataValidation>
    <dataValidation type="decimal" allowBlank="1" showInputMessage="1" showErrorMessage="1" error="入力できる数値は-100~100です。" sqref="AB104:AY104" xr:uid="{2F78CDB5-7ACD-46B9-B866-92B2E66D1A15}">
      <formula1>-100</formula1>
      <formula2>100</formula2>
    </dataValidation>
    <dataValidation type="decimal" allowBlank="1" showInputMessage="1" showErrorMessage="1" error="入力できる数値は0～10000_x000a_です。" sqref="AR112:AT112" xr:uid="{16F3B113-404A-46F2-A1BB-2E3B3C208E46}">
      <formula1>0</formula1>
      <formula2>10000</formula2>
    </dataValidation>
    <dataValidation type="decimal" allowBlank="1" showInputMessage="1" showErrorMessage="1" error="入力できる数値は0.5~1.5です。" sqref="AR114:AT114" xr:uid="{7C5DD668-C5D2-4630-ABC1-EF6191A6AD62}">
      <formula1>0.5</formula1>
      <formula2>1.5</formula2>
    </dataValidation>
    <dataValidation type="decimal" allowBlank="1" showInputMessage="1" showErrorMessage="1" error="入力できる数値は-100~30です。" sqref="Y117:AG117" xr:uid="{4F4E2BEE-AA46-4CE2-9070-59825515268D}">
      <formula1>-100</formula1>
      <formula2>30</formula2>
    </dataValidation>
    <dataValidation type="list" allowBlank="1" showInputMessage="1" showErrorMessage="1" sqref="C252:D351" xr:uid="{6A16C6F6-1A38-4E51-AF14-8F12065B2F7C}">
      <formula1>$BG$252:$BG$259</formula1>
    </dataValidation>
    <dataValidation type="date" operator="greaterThanOrEqual" allowBlank="1" showInputMessage="1" showErrorMessage="1" sqref="Y111:AG111 AB93:AY93" xr:uid="{2F745425-5CBD-4CFD-840A-9EB21E9ACD52}">
      <formula1>1</formula1>
    </dataValidation>
  </dataValidations>
  <pageMargins left="0.7" right="0.4" top="0.56000000000000005" bottom="0.43" header="0.3" footer="0.3"/>
  <pageSetup paperSize="9" scale="42" fitToHeight="0" orientation="landscape" r:id="rId1"/>
  <rowBreaks count="2" manualBreakCount="2">
    <brk id="64" max="57" man="1"/>
    <brk id="243" max="56"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I1003"/>
  <sheetViews>
    <sheetView topLeftCell="A984" workbookViewId="0">
      <selection activeCell="K3" sqref="K3:L5"/>
    </sheetView>
  </sheetViews>
  <sheetFormatPr defaultColWidth="10" defaultRowHeight="13.2"/>
  <cols>
    <col min="1" max="1" width="19" style="24" customWidth="1"/>
    <col min="2" max="2" width="10" style="12"/>
    <col min="3" max="3" width="10" style="25" customWidth="1"/>
    <col min="4" max="4" width="11.6640625" style="25" bestFit="1" customWidth="1"/>
    <col min="5" max="256" width="10" style="12"/>
    <col min="257" max="257" width="10" style="12" customWidth="1"/>
    <col min="258" max="258" width="10" style="12"/>
    <col min="259" max="259" width="10" style="12" customWidth="1"/>
    <col min="260" max="260" width="11.6640625" style="12" bestFit="1" customWidth="1"/>
    <col min="261" max="512" width="10" style="12"/>
    <col min="513" max="513" width="10" style="12" customWidth="1"/>
    <col min="514" max="514" width="10" style="12"/>
    <col min="515" max="515" width="10" style="12" customWidth="1"/>
    <col min="516" max="516" width="11.6640625" style="12" bestFit="1" customWidth="1"/>
    <col min="517" max="768" width="10" style="12"/>
    <col min="769" max="769" width="10" style="12" customWidth="1"/>
    <col min="770" max="770" width="10" style="12"/>
    <col min="771" max="771" width="10" style="12" customWidth="1"/>
    <col min="772" max="772" width="11.6640625" style="12" bestFit="1" customWidth="1"/>
    <col min="773" max="1024" width="10" style="12"/>
    <col min="1025" max="1025" width="10" style="12" customWidth="1"/>
    <col min="1026" max="1026" width="10" style="12"/>
    <col min="1027" max="1027" width="10" style="12" customWidth="1"/>
    <col min="1028" max="1028" width="11.6640625" style="12" bestFit="1" customWidth="1"/>
    <col min="1029" max="1280" width="10" style="12"/>
    <col min="1281" max="1281" width="10" style="12" customWidth="1"/>
    <col min="1282" max="1282" width="10" style="12"/>
    <col min="1283" max="1283" width="10" style="12" customWidth="1"/>
    <col min="1284" max="1284" width="11.6640625" style="12" bestFit="1" customWidth="1"/>
    <col min="1285" max="1536" width="10" style="12"/>
    <col min="1537" max="1537" width="10" style="12" customWidth="1"/>
    <col min="1538" max="1538" width="10" style="12"/>
    <col min="1539" max="1539" width="10" style="12" customWidth="1"/>
    <col min="1540" max="1540" width="11.6640625" style="12" bestFit="1" customWidth="1"/>
    <col min="1541" max="1792" width="10" style="12"/>
    <col min="1793" max="1793" width="10" style="12" customWidth="1"/>
    <col min="1794" max="1794" width="10" style="12"/>
    <col min="1795" max="1795" width="10" style="12" customWidth="1"/>
    <col min="1796" max="1796" width="11.6640625" style="12" bestFit="1" customWidth="1"/>
    <col min="1797" max="2048" width="10" style="12"/>
    <col min="2049" max="2049" width="10" style="12" customWidth="1"/>
    <col min="2050" max="2050" width="10" style="12"/>
    <col min="2051" max="2051" width="10" style="12" customWidth="1"/>
    <col min="2052" max="2052" width="11.6640625" style="12" bestFit="1" customWidth="1"/>
    <col min="2053" max="2304" width="10" style="12"/>
    <col min="2305" max="2305" width="10" style="12" customWidth="1"/>
    <col min="2306" max="2306" width="10" style="12"/>
    <col min="2307" max="2307" width="10" style="12" customWidth="1"/>
    <col min="2308" max="2308" width="11.6640625" style="12" bestFit="1" customWidth="1"/>
    <col min="2309" max="2560" width="10" style="12"/>
    <col min="2561" max="2561" width="10" style="12" customWidth="1"/>
    <col min="2562" max="2562" width="10" style="12"/>
    <col min="2563" max="2563" width="10" style="12" customWidth="1"/>
    <col min="2564" max="2564" width="11.6640625" style="12" bestFit="1" customWidth="1"/>
    <col min="2565" max="2816" width="10" style="12"/>
    <col min="2817" max="2817" width="10" style="12" customWidth="1"/>
    <col min="2818" max="2818" width="10" style="12"/>
    <col min="2819" max="2819" width="10" style="12" customWidth="1"/>
    <col min="2820" max="2820" width="11.6640625" style="12" bestFit="1" customWidth="1"/>
    <col min="2821" max="3072" width="10" style="12"/>
    <col min="3073" max="3073" width="10" style="12" customWidth="1"/>
    <col min="3074" max="3074" width="10" style="12"/>
    <col min="3075" max="3075" width="10" style="12" customWidth="1"/>
    <col min="3076" max="3076" width="11.6640625" style="12" bestFit="1" customWidth="1"/>
    <col min="3077" max="3328" width="10" style="12"/>
    <col min="3329" max="3329" width="10" style="12" customWidth="1"/>
    <col min="3330" max="3330" width="10" style="12"/>
    <col min="3331" max="3331" width="10" style="12" customWidth="1"/>
    <col min="3332" max="3332" width="11.6640625" style="12" bestFit="1" customWidth="1"/>
    <col min="3333" max="3584" width="10" style="12"/>
    <col min="3585" max="3585" width="10" style="12" customWidth="1"/>
    <col min="3586" max="3586" width="10" style="12"/>
    <col min="3587" max="3587" width="10" style="12" customWidth="1"/>
    <col min="3588" max="3588" width="11.6640625" style="12" bestFit="1" customWidth="1"/>
    <col min="3589" max="3840" width="10" style="12"/>
    <col min="3841" max="3841" width="10" style="12" customWidth="1"/>
    <col min="3842" max="3842" width="10" style="12"/>
    <col min="3843" max="3843" width="10" style="12" customWidth="1"/>
    <col min="3844" max="3844" width="11.6640625" style="12" bestFit="1" customWidth="1"/>
    <col min="3845" max="4096" width="10" style="12"/>
    <col min="4097" max="4097" width="10" style="12" customWidth="1"/>
    <col min="4098" max="4098" width="10" style="12"/>
    <col min="4099" max="4099" width="10" style="12" customWidth="1"/>
    <col min="4100" max="4100" width="11.6640625" style="12" bestFit="1" customWidth="1"/>
    <col min="4101" max="4352" width="10" style="12"/>
    <col min="4353" max="4353" width="10" style="12" customWidth="1"/>
    <col min="4354" max="4354" width="10" style="12"/>
    <col min="4355" max="4355" width="10" style="12" customWidth="1"/>
    <col min="4356" max="4356" width="11.6640625" style="12" bestFit="1" customWidth="1"/>
    <col min="4357" max="4608" width="10" style="12"/>
    <col min="4609" max="4609" width="10" style="12" customWidth="1"/>
    <col min="4610" max="4610" width="10" style="12"/>
    <col min="4611" max="4611" width="10" style="12" customWidth="1"/>
    <col min="4612" max="4612" width="11.6640625" style="12" bestFit="1" customWidth="1"/>
    <col min="4613" max="4864" width="10" style="12"/>
    <col min="4865" max="4865" width="10" style="12" customWidth="1"/>
    <col min="4866" max="4866" width="10" style="12"/>
    <col min="4867" max="4867" width="10" style="12" customWidth="1"/>
    <col min="4868" max="4868" width="11.6640625" style="12" bestFit="1" customWidth="1"/>
    <col min="4869" max="5120" width="10" style="12"/>
    <col min="5121" max="5121" width="10" style="12" customWidth="1"/>
    <col min="5122" max="5122" width="10" style="12"/>
    <col min="5123" max="5123" width="10" style="12" customWidth="1"/>
    <col min="5124" max="5124" width="11.6640625" style="12" bestFit="1" customWidth="1"/>
    <col min="5125" max="5376" width="10" style="12"/>
    <col min="5377" max="5377" width="10" style="12" customWidth="1"/>
    <col min="5378" max="5378" width="10" style="12"/>
    <col min="5379" max="5379" width="10" style="12" customWidth="1"/>
    <col min="5380" max="5380" width="11.6640625" style="12" bestFit="1" customWidth="1"/>
    <col min="5381" max="5632" width="10" style="12"/>
    <col min="5633" max="5633" width="10" style="12" customWidth="1"/>
    <col min="5634" max="5634" width="10" style="12"/>
    <col min="5635" max="5635" width="10" style="12" customWidth="1"/>
    <col min="5636" max="5636" width="11.6640625" style="12" bestFit="1" customWidth="1"/>
    <col min="5637" max="5888" width="10" style="12"/>
    <col min="5889" max="5889" width="10" style="12" customWidth="1"/>
    <col min="5890" max="5890" width="10" style="12"/>
    <col min="5891" max="5891" width="10" style="12" customWidth="1"/>
    <col min="5892" max="5892" width="11.6640625" style="12" bestFit="1" customWidth="1"/>
    <col min="5893" max="6144" width="10" style="12"/>
    <col min="6145" max="6145" width="10" style="12" customWidth="1"/>
    <col min="6146" max="6146" width="10" style="12"/>
    <col min="6147" max="6147" width="10" style="12" customWidth="1"/>
    <col min="6148" max="6148" width="11.6640625" style="12" bestFit="1" customWidth="1"/>
    <col min="6149" max="6400" width="10" style="12"/>
    <col min="6401" max="6401" width="10" style="12" customWidth="1"/>
    <col min="6402" max="6402" width="10" style="12"/>
    <col min="6403" max="6403" width="10" style="12" customWidth="1"/>
    <col min="6404" max="6404" width="11.6640625" style="12" bestFit="1" customWidth="1"/>
    <col min="6405" max="6656" width="10" style="12"/>
    <col min="6657" max="6657" width="10" style="12" customWidth="1"/>
    <col min="6658" max="6658" width="10" style="12"/>
    <col min="6659" max="6659" width="10" style="12" customWidth="1"/>
    <col min="6660" max="6660" width="11.6640625" style="12" bestFit="1" customWidth="1"/>
    <col min="6661" max="6912" width="10" style="12"/>
    <col min="6913" max="6913" width="10" style="12" customWidth="1"/>
    <col min="6914" max="6914" width="10" style="12"/>
    <col min="6915" max="6915" width="10" style="12" customWidth="1"/>
    <col min="6916" max="6916" width="11.6640625" style="12" bestFit="1" customWidth="1"/>
    <col min="6917" max="7168" width="10" style="12"/>
    <col min="7169" max="7169" width="10" style="12" customWidth="1"/>
    <col min="7170" max="7170" width="10" style="12"/>
    <col min="7171" max="7171" width="10" style="12" customWidth="1"/>
    <col min="7172" max="7172" width="11.6640625" style="12" bestFit="1" customWidth="1"/>
    <col min="7173" max="7424" width="10" style="12"/>
    <col min="7425" max="7425" width="10" style="12" customWidth="1"/>
    <col min="7426" max="7426" width="10" style="12"/>
    <col min="7427" max="7427" width="10" style="12" customWidth="1"/>
    <col min="7428" max="7428" width="11.6640625" style="12" bestFit="1" customWidth="1"/>
    <col min="7429" max="7680" width="10" style="12"/>
    <col min="7681" max="7681" width="10" style="12" customWidth="1"/>
    <col min="7682" max="7682" width="10" style="12"/>
    <col min="7683" max="7683" width="10" style="12" customWidth="1"/>
    <col min="7684" max="7684" width="11.6640625" style="12" bestFit="1" customWidth="1"/>
    <col min="7685" max="7936" width="10" style="12"/>
    <col min="7937" max="7937" width="10" style="12" customWidth="1"/>
    <col min="7938" max="7938" width="10" style="12"/>
    <col min="7939" max="7939" width="10" style="12" customWidth="1"/>
    <col min="7940" max="7940" width="11.6640625" style="12" bestFit="1" customWidth="1"/>
    <col min="7941" max="8192" width="10" style="12"/>
    <col min="8193" max="8193" width="10" style="12" customWidth="1"/>
    <col min="8194" max="8194" width="10" style="12"/>
    <col min="8195" max="8195" width="10" style="12" customWidth="1"/>
    <col min="8196" max="8196" width="11.6640625" style="12" bestFit="1" customWidth="1"/>
    <col min="8197" max="8448" width="10" style="12"/>
    <col min="8449" max="8449" width="10" style="12" customWidth="1"/>
    <col min="8450" max="8450" width="10" style="12"/>
    <col min="8451" max="8451" width="10" style="12" customWidth="1"/>
    <col min="8452" max="8452" width="11.6640625" style="12" bestFit="1" customWidth="1"/>
    <col min="8453" max="8704" width="10" style="12"/>
    <col min="8705" max="8705" width="10" style="12" customWidth="1"/>
    <col min="8706" max="8706" width="10" style="12"/>
    <col min="8707" max="8707" width="10" style="12" customWidth="1"/>
    <col min="8708" max="8708" width="11.6640625" style="12" bestFit="1" customWidth="1"/>
    <col min="8709" max="8960" width="10" style="12"/>
    <col min="8961" max="8961" width="10" style="12" customWidth="1"/>
    <col min="8962" max="8962" width="10" style="12"/>
    <col min="8963" max="8963" width="10" style="12" customWidth="1"/>
    <col min="8964" max="8964" width="11.6640625" style="12" bestFit="1" customWidth="1"/>
    <col min="8965" max="9216" width="10" style="12"/>
    <col min="9217" max="9217" width="10" style="12" customWidth="1"/>
    <col min="9218" max="9218" width="10" style="12"/>
    <col min="9219" max="9219" width="10" style="12" customWidth="1"/>
    <col min="9220" max="9220" width="11.6640625" style="12" bestFit="1" customWidth="1"/>
    <col min="9221" max="9472" width="10" style="12"/>
    <col min="9473" max="9473" width="10" style="12" customWidth="1"/>
    <col min="9474" max="9474" width="10" style="12"/>
    <col min="9475" max="9475" width="10" style="12" customWidth="1"/>
    <col min="9476" max="9476" width="11.6640625" style="12" bestFit="1" customWidth="1"/>
    <col min="9477" max="9728" width="10" style="12"/>
    <col min="9729" max="9729" width="10" style="12" customWidth="1"/>
    <col min="9730" max="9730" width="10" style="12"/>
    <col min="9731" max="9731" width="10" style="12" customWidth="1"/>
    <col min="9732" max="9732" width="11.6640625" style="12" bestFit="1" customWidth="1"/>
    <col min="9733" max="9984" width="10" style="12"/>
    <col min="9985" max="9985" width="10" style="12" customWidth="1"/>
    <col min="9986" max="9986" width="10" style="12"/>
    <col min="9987" max="9987" width="10" style="12" customWidth="1"/>
    <col min="9988" max="9988" width="11.6640625" style="12" bestFit="1" customWidth="1"/>
    <col min="9989" max="10240" width="10" style="12"/>
    <col min="10241" max="10241" width="10" style="12" customWidth="1"/>
    <col min="10242" max="10242" width="10" style="12"/>
    <col min="10243" max="10243" width="10" style="12" customWidth="1"/>
    <col min="10244" max="10244" width="11.6640625" style="12" bestFit="1" customWidth="1"/>
    <col min="10245" max="10496" width="10" style="12"/>
    <col min="10497" max="10497" width="10" style="12" customWidth="1"/>
    <col min="10498" max="10498" width="10" style="12"/>
    <col min="10499" max="10499" width="10" style="12" customWidth="1"/>
    <col min="10500" max="10500" width="11.6640625" style="12" bestFit="1" customWidth="1"/>
    <col min="10501" max="10752" width="10" style="12"/>
    <col min="10753" max="10753" width="10" style="12" customWidth="1"/>
    <col min="10754" max="10754" width="10" style="12"/>
    <col min="10755" max="10755" width="10" style="12" customWidth="1"/>
    <col min="10756" max="10756" width="11.6640625" style="12" bestFit="1" customWidth="1"/>
    <col min="10757" max="11008" width="10" style="12"/>
    <col min="11009" max="11009" width="10" style="12" customWidth="1"/>
    <col min="11010" max="11010" width="10" style="12"/>
    <col min="11011" max="11011" width="10" style="12" customWidth="1"/>
    <col min="11012" max="11012" width="11.6640625" style="12" bestFit="1" customWidth="1"/>
    <col min="11013" max="11264" width="10" style="12"/>
    <col min="11265" max="11265" width="10" style="12" customWidth="1"/>
    <col min="11266" max="11266" width="10" style="12"/>
    <col min="11267" max="11267" width="10" style="12" customWidth="1"/>
    <col min="11268" max="11268" width="11.6640625" style="12" bestFit="1" customWidth="1"/>
    <col min="11269" max="11520" width="10" style="12"/>
    <col min="11521" max="11521" width="10" style="12" customWidth="1"/>
    <col min="11522" max="11522" width="10" style="12"/>
    <col min="11523" max="11523" width="10" style="12" customWidth="1"/>
    <col min="11524" max="11524" width="11.6640625" style="12" bestFit="1" customWidth="1"/>
    <col min="11525" max="11776" width="10" style="12"/>
    <col min="11777" max="11777" width="10" style="12" customWidth="1"/>
    <col min="11778" max="11778" width="10" style="12"/>
    <col min="11779" max="11779" width="10" style="12" customWidth="1"/>
    <col min="11780" max="11780" width="11.6640625" style="12" bestFit="1" customWidth="1"/>
    <col min="11781" max="12032" width="10" style="12"/>
    <col min="12033" max="12033" width="10" style="12" customWidth="1"/>
    <col min="12034" max="12034" width="10" style="12"/>
    <col min="12035" max="12035" width="10" style="12" customWidth="1"/>
    <col min="12036" max="12036" width="11.6640625" style="12" bestFit="1" customWidth="1"/>
    <col min="12037" max="12288" width="10" style="12"/>
    <col min="12289" max="12289" width="10" style="12" customWidth="1"/>
    <col min="12290" max="12290" width="10" style="12"/>
    <col min="12291" max="12291" width="10" style="12" customWidth="1"/>
    <col min="12292" max="12292" width="11.6640625" style="12" bestFit="1" customWidth="1"/>
    <col min="12293" max="12544" width="10" style="12"/>
    <col min="12545" max="12545" width="10" style="12" customWidth="1"/>
    <col min="12546" max="12546" width="10" style="12"/>
    <col min="12547" max="12547" width="10" style="12" customWidth="1"/>
    <col min="12548" max="12548" width="11.6640625" style="12" bestFit="1" customWidth="1"/>
    <col min="12549" max="12800" width="10" style="12"/>
    <col min="12801" max="12801" width="10" style="12" customWidth="1"/>
    <col min="12802" max="12802" width="10" style="12"/>
    <col min="12803" max="12803" width="10" style="12" customWidth="1"/>
    <col min="12804" max="12804" width="11.6640625" style="12" bestFit="1" customWidth="1"/>
    <col min="12805" max="13056" width="10" style="12"/>
    <col min="13057" max="13057" width="10" style="12" customWidth="1"/>
    <col min="13058" max="13058" width="10" style="12"/>
    <col min="13059" max="13059" width="10" style="12" customWidth="1"/>
    <col min="13060" max="13060" width="11.6640625" style="12" bestFit="1" customWidth="1"/>
    <col min="13061" max="13312" width="10" style="12"/>
    <col min="13313" max="13313" width="10" style="12" customWidth="1"/>
    <col min="13314" max="13314" width="10" style="12"/>
    <col min="13315" max="13315" width="10" style="12" customWidth="1"/>
    <col min="13316" max="13316" width="11.6640625" style="12" bestFit="1" customWidth="1"/>
    <col min="13317" max="13568" width="10" style="12"/>
    <col min="13569" max="13569" width="10" style="12" customWidth="1"/>
    <col min="13570" max="13570" width="10" style="12"/>
    <col min="13571" max="13571" width="10" style="12" customWidth="1"/>
    <col min="13572" max="13572" width="11.6640625" style="12" bestFit="1" customWidth="1"/>
    <col min="13573" max="13824" width="10" style="12"/>
    <col min="13825" max="13825" width="10" style="12" customWidth="1"/>
    <col min="13826" max="13826" width="10" style="12"/>
    <col min="13827" max="13827" width="10" style="12" customWidth="1"/>
    <col min="13828" max="13828" width="11.6640625" style="12" bestFit="1" customWidth="1"/>
    <col min="13829" max="14080" width="10" style="12"/>
    <col min="14081" max="14081" width="10" style="12" customWidth="1"/>
    <col min="14082" max="14082" width="10" style="12"/>
    <col min="14083" max="14083" width="10" style="12" customWidth="1"/>
    <col min="14084" max="14084" width="11.6640625" style="12" bestFit="1" customWidth="1"/>
    <col min="14085" max="14336" width="10" style="12"/>
    <col min="14337" max="14337" width="10" style="12" customWidth="1"/>
    <col min="14338" max="14338" width="10" style="12"/>
    <col min="14339" max="14339" width="10" style="12" customWidth="1"/>
    <col min="14340" max="14340" width="11.6640625" style="12" bestFit="1" customWidth="1"/>
    <col min="14341" max="14592" width="10" style="12"/>
    <col min="14593" max="14593" width="10" style="12" customWidth="1"/>
    <col min="14594" max="14594" width="10" style="12"/>
    <col min="14595" max="14595" width="10" style="12" customWidth="1"/>
    <col min="14596" max="14596" width="11.6640625" style="12" bestFit="1" customWidth="1"/>
    <col min="14597" max="14848" width="10" style="12"/>
    <col min="14849" max="14849" width="10" style="12" customWidth="1"/>
    <col min="14850" max="14850" width="10" style="12"/>
    <col min="14851" max="14851" width="10" style="12" customWidth="1"/>
    <col min="14852" max="14852" width="11.6640625" style="12" bestFit="1" customWidth="1"/>
    <col min="14853" max="15104" width="10" style="12"/>
    <col min="15105" max="15105" width="10" style="12" customWidth="1"/>
    <col min="15106" max="15106" width="10" style="12"/>
    <col min="15107" max="15107" width="10" style="12" customWidth="1"/>
    <col min="15108" max="15108" width="11.6640625" style="12" bestFit="1" customWidth="1"/>
    <col min="15109" max="15360" width="10" style="12"/>
    <col min="15361" max="15361" width="10" style="12" customWidth="1"/>
    <col min="15362" max="15362" width="10" style="12"/>
    <col min="15363" max="15363" width="10" style="12" customWidth="1"/>
    <col min="15364" max="15364" width="11.6640625" style="12" bestFit="1" customWidth="1"/>
    <col min="15365" max="15616" width="10" style="12"/>
    <col min="15617" max="15617" width="10" style="12" customWidth="1"/>
    <col min="15618" max="15618" width="10" style="12"/>
    <col min="15619" max="15619" width="10" style="12" customWidth="1"/>
    <col min="15620" max="15620" width="11.6640625" style="12" bestFit="1" customWidth="1"/>
    <col min="15621" max="15872" width="10" style="12"/>
    <col min="15873" max="15873" width="10" style="12" customWidth="1"/>
    <col min="15874" max="15874" width="10" style="12"/>
    <col min="15875" max="15875" width="10" style="12" customWidth="1"/>
    <col min="15876" max="15876" width="11.6640625" style="12" bestFit="1" customWidth="1"/>
    <col min="15877" max="16128" width="10" style="12"/>
    <col min="16129" max="16129" width="10" style="12" customWidth="1"/>
    <col min="16130" max="16130" width="10" style="12"/>
    <col min="16131" max="16131" width="10" style="12" customWidth="1"/>
    <col min="16132" max="16132" width="11.6640625" style="12" bestFit="1" customWidth="1"/>
    <col min="16133" max="16384" width="10" style="12"/>
  </cols>
  <sheetData>
    <row r="1" spans="1:9">
      <c r="A1" s="24" t="s">
        <v>123</v>
      </c>
    </row>
    <row r="2" spans="1:9" s="6" customFormat="1" ht="11.4" thickBot="1">
      <c r="A2" s="6" t="s">
        <v>26</v>
      </c>
      <c r="B2" s="6" t="s">
        <v>27</v>
      </c>
      <c r="C2" s="7" t="s">
        <v>28</v>
      </c>
      <c r="D2" s="7" t="s">
        <v>29</v>
      </c>
      <c r="E2" s="26" t="s">
        <v>26</v>
      </c>
      <c r="F2" s="26" t="s">
        <v>30</v>
      </c>
      <c r="G2" s="27" t="s">
        <v>28</v>
      </c>
      <c r="H2" s="27" t="s">
        <v>29</v>
      </c>
      <c r="I2" s="28" t="s">
        <v>31</v>
      </c>
    </row>
    <row r="3" spans="1:9" ht="13.8" thickBot="1">
      <c r="A3" s="8">
        <v>0</v>
      </c>
      <c r="B3" s="9">
        <v>0.99909999999999999</v>
      </c>
      <c r="C3" s="10">
        <f>SLOPE(B3:B4,A3:A4)</f>
        <v>-1.5999999999993797E-3</v>
      </c>
      <c r="D3" s="11">
        <f>INTERCEPT(B3:B4,A3:A4)</f>
        <v>0.99909999999999999</v>
      </c>
      <c r="E3" s="8">
        <v>0</v>
      </c>
      <c r="F3" s="9">
        <v>1</v>
      </c>
      <c r="G3" s="10">
        <f>SLOPE(F3:F4,E3:E4)</f>
        <v>-1.6000000000004899E-3</v>
      </c>
      <c r="H3" s="11">
        <f>INTERCEPT(F3:F4,E3:E4)</f>
        <v>1</v>
      </c>
    </row>
    <row r="4" spans="1:9" ht="13.8" thickBot="1">
      <c r="A4" s="13">
        <v>0.1</v>
      </c>
      <c r="B4" s="14">
        <v>0.99894000000000005</v>
      </c>
      <c r="C4" s="10">
        <f t="shared" ref="C4:C67" si="0">SLOPE(B4:B5,A4:A5)</f>
        <v>-1.5000000000009448E-3</v>
      </c>
      <c r="D4" s="11">
        <f t="shared" ref="D4:D67" si="1">INTERCEPT(B4:B5,A4:A5)</f>
        <v>0.99909000000000014</v>
      </c>
      <c r="E4" s="13">
        <v>0.1</v>
      </c>
      <c r="F4" s="14">
        <v>0.99983999999999995</v>
      </c>
      <c r="G4" s="10">
        <f t="shared" ref="G4:G67" si="2">SLOPE(F4:F5,E4:E5)</f>
        <v>-1.4999999999998346E-3</v>
      </c>
      <c r="H4" s="11">
        <f t="shared" ref="H4:H67" si="3">INTERCEPT(F4:F5,E4:E5)</f>
        <v>0.99998999999999993</v>
      </c>
    </row>
    <row r="5" spans="1:9" ht="13.8" thickBot="1">
      <c r="A5" s="13">
        <v>0.2</v>
      </c>
      <c r="B5" s="14">
        <v>0.99878999999999996</v>
      </c>
      <c r="C5" s="10">
        <f t="shared" si="0"/>
        <v>-1.4999999999998352E-3</v>
      </c>
      <c r="D5" s="11">
        <f t="shared" si="1"/>
        <v>0.99909000000000003</v>
      </c>
      <c r="E5" s="13">
        <v>0.2</v>
      </c>
      <c r="F5" s="14">
        <v>0.99968999999999997</v>
      </c>
      <c r="G5" s="10">
        <f t="shared" si="2"/>
        <v>-1.4999999999998352E-3</v>
      </c>
      <c r="H5" s="11">
        <f t="shared" si="3"/>
        <v>0.99998999999999993</v>
      </c>
    </row>
    <row r="6" spans="1:9" ht="13.8" thickBot="1">
      <c r="A6" s="13">
        <v>0.3</v>
      </c>
      <c r="B6" s="14">
        <v>0.99863999999999997</v>
      </c>
      <c r="C6" s="10">
        <f t="shared" si="0"/>
        <v>-1.5999999999993795E-3</v>
      </c>
      <c r="D6" s="11">
        <f t="shared" si="1"/>
        <v>0.99911999999999979</v>
      </c>
      <c r="E6" s="13">
        <v>0.3</v>
      </c>
      <c r="F6" s="14">
        <v>0.99953999999999998</v>
      </c>
      <c r="G6" s="10">
        <f t="shared" si="2"/>
        <v>-1.5999999999993795E-3</v>
      </c>
      <c r="H6" s="11">
        <f t="shared" si="3"/>
        <v>1.0000199999999997</v>
      </c>
    </row>
    <row r="7" spans="1:9" ht="13.8" thickBot="1">
      <c r="A7" s="13">
        <v>0.4</v>
      </c>
      <c r="B7" s="14">
        <v>0.99848000000000003</v>
      </c>
      <c r="C7" s="10">
        <f t="shared" si="0"/>
        <v>-1.4999999999998352E-3</v>
      </c>
      <c r="D7" s="11">
        <f t="shared" si="1"/>
        <v>0.99907999999999997</v>
      </c>
      <c r="E7" s="13">
        <v>0.4</v>
      </c>
      <c r="F7" s="14">
        <v>0.99938000000000005</v>
      </c>
      <c r="G7" s="10">
        <f t="shared" si="2"/>
        <v>-1.5000000000009455E-3</v>
      </c>
      <c r="H7" s="11">
        <f t="shared" si="3"/>
        <v>0.99998000000000042</v>
      </c>
    </row>
    <row r="8" spans="1:9" ht="13.8" thickBot="1">
      <c r="A8" s="13">
        <v>0.5</v>
      </c>
      <c r="B8" s="14">
        <v>0.99833000000000005</v>
      </c>
      <c r="C8" s="10">
        <f t="shared" si="0"/>
        <v>-1.5000000000009455E-3</v>
      </c>
      <c r="D8" s="11">
        <f t="shared" si="1"/>
        <v>0.99908000000000052</v>
      </c>
      <c r="E8" s="13">
        <v>0.5</v>
      </c>
      <c r="F8" s="14">
        <v>0.99922999999999995</v>
      </c>
      <c r="G8" s="10">
        <f t="shared" si="2"/>
        <v>-1.4999999999998352E-3</v>
      </c>
      <c r="H8" s="11">
        <f t="shared" si="3"/>
        <v>0.99997999999999998</v>
      </c>
    </row>
    <row r="9" spans="1:9" ht="13.8" thickBot="1">
      <c r="A9" s="13">
        <v>0.6</v>
      </c>
      <c r="B9" s="14">
        <v>0.99817999999999996</v>
      </c>
      <c r="C9" s="10">
        <f t="shared" si="0"/>
        <v>-1.4999999999998352E-3</v>
      </c>
      <c r="D9" s="11">
        <f t="shared" si="1"/>
        <v>0.99907999999999997</v>
      </c>
      <c r="E9" s="13">
        <v>0.6</v>
      </c>
      <c r="F9" s="14">
        <v>0.99907999999999997</v>
      </c>
      <c r="G9" s="10">
        <f t="shared" si="2"/>
        <v>-1.4999999999998352E-3</v>
      </c>
      <c r="H9" s="11">
        <f t="shared" si="3"/>
        <v>0.99997999999999987</v>
      </c>
    </row>
    <row r="10" spans="1:9" ht="13.8" thickBot="1">
      <c r="A10" s="13">
        <v>0.7</v>
      </c>
      <c r="B10" s="14">
        <v>0.99802999999999997</v>
      </c>
      <c r="C10" s="10">
        <f t="shared" si="0"/>
        <v>-1.4999999999998335E-3</v>
      </c>
      <c r="D10" s="11">
        <f t="shared" si="1"/>
        <v>0.99907999999999975</v>
      </c>
      <c r="E10" s="13">
        <v>0.7</v>
      </c>
      <c r="F10" s="14">
        <v>0.99892999999999998</v>
      </c>
      <c r="G10" s="10">
        <f t="shared" si="2"/>
        <v>-1.4999999999998335E-3</v>
      </c>
      <c r="H10" s="11">
        <f t="shared" si="3"/>
        <v>0.99997999999999987</v>
      </c>
    </row>
    <row r="11" spans="1:9" ht="13.8" thickBot="1">
      <c r="A11" s="13">
        <v>0.8</v>
      </c>
      <c r="B11" s="14">
        <v>0.99787999999999999</v>
      </c>
      <c r="C11" s="10">
        <f t="shared" si="0"/>
        <v>-1.4999999999998352E-3</v>
      </c>
      <c r="D11" s="11">
        <f t="shared" si="1"/>
        <v>0.99907999999999997</v>
      </c>
      <c r="E11" s="13">
        <v>0.8</v>
      </c>
      <c r="F11" s="14">
        <v>0.99878</v>
      </c>
      <c r="G11" s="10">
        <f t="shared" si="2"/>
        <v>-1.4999999999998352E-3</v>
      </c>
      <c r="H11" s="11">
        <f t="shared" si="3"/>
        <v>0.99997999999999987</v>
      </c>
    </row>
    <row r="12" spans="1:9" ht="13.8" thickBot="1">
      <c r="A12" s="15">
        <v>0.9</v>
      </c>
      <c r="B12" s="16">
        <v>0.99773000000000001</v>
      </c>
      <c r="C12" s="10">
        <f t="shared" si="0"/>
        <v>-1.4999999999998352E-3</v>
      </c>
      <c r="D12" s="11">
        <f t="shared" si="1"/>
        <v>0.99907999999999986</v>
      </c>
      <c r="E12" s="15">
        <v>0.9</v>
      </c>
      <c r="F12" s="16">
        <v>0.99863000000000002</v>
      </c>
      <c r="G12" s="10">
        <f t="shared" si="2"/>
        <v>-1.4999999999998352E-3</v>
      </c>
      <c r="H12" s="11">
        <f t="shared" si="3"/>
        <v>0.99997999999999998</v>
      </c>
    </row>
    <row r="13" spans="1:9" ht="13.8" thickBot="1">
      <c r="A13" s="15">
        <v>1</v>
      </c>
      <c r="B13" s="16">
        <v>0.99758000000000002</v>
      </c>
      <c r="C13" s="10">
        <f t="shared" si="0"/>
        <v>-1.4999999999998335E-3</v>
      </c>
      <c r="D13" s="11">
        <f t="shared" si="1"/>
        <v>0.99907999999999986</v>
      </c>
      <c r="E13" s="15">
        <v>1</v>
      </c>
      <c r="F13" s="16">
        <v>0.99848000000000003</v>
      </c>
      <c r="G13" s="10">
        <f t="shared" si="2"/>
        <v>-1.4999999999998335E-3</v>
      </c>
      <c r="H13" s="11">
        <f t="shared" si="3"/>
        <v>0.99997999999999976</v>
      </c>
    </row>
    <row r="14" spans="1:9" ht="13.8" thickBot="1">
      <c r="A14" s="13">
        <v>1.1000000000000001</v>
      </c>
      <c r="B14" s="14">
        <v>0.99743000000000004</v>
      </c>
      <c r="C14" s="10">
        <f t="shared" si="0"/>
        <v>-1.4999999999998368E-3</v>
      </c>
      <c r="D14" s="11">
        <f t="shared" si="1"/>
        <v>0.99907999999999986</v>
      </c>
      <c r="E14" s="13">
        <v>1.1000000000000001</v>
      </c>
      <c r="F14" s="14">
        <v>0.99833000000000005</v>
      </c>
      <c r="G14" s="10">
        <f t="shared" si="2"/>
        <v>-1.500000000000947E-3</v>
      </c>
      <c r="H14" s="11">
        <f t="shared" si="3"/>
        <v>0.99998000000000109</v>
      </c>
    </row>
    <row r="15" spans="1:9" ht="13.8" thickBot="1">
      <c r="A15" s="13">
        <v>1.2</v>
      </c>
      <c r="B15" s="14">
        <v>0.99728000000000006</v>
      </c>
      <c r="C15" s="10">
        <f t="shared" si="0"/>
        <v>-1.5000000000009437E-3</v>
      </c>
      <c r="D15" s="11">
        <f t="shared" si="1"/>
        <v>0.99908000000000119</v>
      </c>
      <c r="E15" s="13">
        <v>1.2</v>
      </c>
      <c r="F15" s="14">
        <v>0.99817999999999996</v>
      </c>
      <c r="G15" s="10">
        <f t="shared" si="2"/>
        <v>-1.4999999999998335E-3</v>
      </c>
      <c r="H15" s="11">
        <f t="shared" si="3"/>
        <v>0.99997999999999976</v>
      </c>
    </row>
    <row r="16" spans="1:9" ht="13.8" thickBot="1">
      <c r="A16" s="13">
        <v>1.3</v>
      </c>
      <c r="B16" s="14">
        <v>0.99712999999999996</v>
      </c>
      <c r="C16" s="10">
        <f t="shared" si="0"/>
        <v>-1.3999999999991814E-3</v>
      </c>
      <c r="D16" s="11">
        <f t="shared" si="1"/>
        <v>0.99894999999999901</v>
      </c>
      <c r="E16" s="13">
        <v>1.3</v>
      </c>
      <c r="F16" s="14">
        <v>0.99802999999999997</v>
      </c>
      <c r="G16" s="10">
        <f t="shared" si="2"/>
        <v>-1.3999999999991814E-3</v>
      </c>
      <c r="H16" s="11">
        <f t="shared" si="3"/>
        <v>0.99984999999999891</v>
      </c>
    </row>
    <row r="17" spans="1:8" ht="13.8" thickBot="1">
      <c r="A17" s="13">
        <v>1.4</v>
      </c>
      <c r="B17" s="14">
        <v>0.99699000000000004</v>
      </c>
      <c r="C17" s="10">
        <f t="shared" si="0"/>
        <v>-1.5000000000009437E-3</v>
      </c>
      <c r="D17" s="11">
        <f t="shared" si="1"/>
        <v>0.99909000000000137</v>
      </c>
      <c r="E17" s="13">
        <v>1.4</v>
      </c>
      <c r="F17" s="14">
        <v>0.99789000000000005</v>
      </c>
      <c r="G17" s="10">
        <f t="shared" si="2"/>
        <v>-1.5000000000009437E-3</v>
      </c>
      <c r="H17" s="11">
        <f t="shared" si="3"/>
        <v>0.99999000000000138</v>
      </c>
    </row>
    <row r="18" spans="1:8" ht="13.8" thickBot="1">
      <c r="A18" s="13">
        <v>1.5</v>
      </c>
      <c r="B18" s="14">
        <v>0.99683999999999995</v>
      </c>
      <c r="C18" s="10">
        <f t="shared" si="0"/>
        <v>-1.4999999999998335E-3</v>
      </c>
      <c r="D18" s="11">
        <f t="shared" si="1"/>
        <v>0.99908999999999959</v>
      </c>
      <c r="E18" s="13">
        <v>1.5</v>
      </c>
      <c r="F18" s="14">
        <v>0.99773999999999996</v>
      </c>
      <c r="G18" s="10">
        <f t="shared" si="2"/>
        <v>-1.4999999999998335E-3</v>
      </c>
      <c r="H18" s="11">
        <f t="shared" si="3"/>
        <v>0.99998999999999971</v>
      </c>
    </row>
    <row r="19" spans="1:8" ht="13.8" thickBot="1">
      <c r="A19" s="13">
        <v>1.6</v>
      </c>
      <c r="B19" s="14">
        <v>0.99668999999999996</v>
      </c>
      <c r="C19" s="10">
        <f t="shared" si="0"/>
        <v>-1.3999999999991814E-3</v>
      </c>
      <c r="D19" s="11">
        <f t="shared" si="1"/>
        <v>0.99892999999999876</v>
      </c>
      <c r="E19" s="13">
        <v>1.6</v>
      </c>
      <c r="F19" s="14">
        <v>0.99758999999999998</v>
      </c>
      <c r="G19" s="10">
        <f t="shared" si="2"/>
        <v>-1.4000000000002919E-3</v>
      </c>
      <c r="H19" s="11">
        <f t="shared" si="3"/>
        <v>0.99983000000000044</v>
      </c>
    </row>
    <row r="20" spans="1:8" ht="13.8" thickBot="1">
      <c r="A20" s="13">
        <v>1.7</v>
      </c>
      <c r="B20" s="14">
        <v>0.99655000000000005</v>
      </c>
      <c r="C20" s="10">
        <f t="shared" si="0"/>
        <v>-1.5000000000009437E-3</v>
      </c>
      <c r="D20" s="11">
        <f t="shared" si="1"/>
        <v>0.99910000000000165</v>
      </c>
      <c r="E20" s="13">
        <v>1.7</v>
      </c>
      <c r="F20" s="14">
        <v>0.99744999999999995</v>
      </c>
      <c r="G20" s="10">
        <f t="shared" si="2"/>
        <v>-1.4999999999998335E-3</v>
      </c>
      <c r="H20" s="11">
        <f t="shared" si="3"/>
        <v>0.99999999999999956</v>
      </c>
    </row>
    <row r="21" spans="1:8" ht="13.8" thickBot="1">
      <c r="A21" s="13">
        <v>1.8</v>
      </c>
      <c r="B21" s="14">
        <v>0.99639999999999995</v>
      </c>
      <c r="C21" s="10">
        <f t="shared" si="0"/>
        <v>-1.4999999999998368E-3</v>
      </c>
      <c r="D21" s="11">
        <f t="shared" si="1"/>
        <v>0.99909999999999966</v>
      </c>
      <c r="E21" s="13">
        <v>1.8</v>
      </c>
      <c r="F21" s="14">
        <v>0.99729999999999996</v>
      </c>
      <c r="G21" s="10">
        <f t="shared" si="2"/>
        <v>-1.4999999999998368E-3</v>
      </c>
      <c r="H21" s="11">
        <f t="shared" si="3"/>
        <v>0.99999999999999978</v>
      </c>
    </row>
    <row r="22" spans="1:8" ht="13.8" thickBot="1">
      <c r="A22" s="13">
        <v>1.9</v>
      </c>
      <c r="B22" s="14">
        <v>0.99624999999999997</v>
      </c>
      <c r="C22" s="10">
        <f t="shared" si="0"/>
        <v>-1.3999999999991784E-3</v>
      </c>
      <c r="D22" s="11">
        <f t="shared" si="1"/>
        <v>0.99890999999999841</v>
      </c>
      <c r="E22" s="13">
        <v>1.9</v>
      </c>
      <c r="F22" s="14">
        <v>0.99714999999999998</v>
      </c>
      <c r="G22" s="10">
        <f t="shared" si="2"/>
        <v>-1.4000000000002888E-3</v>
      </c>
      <c r="H22" s="11">
        <f t="shared" si="3"/>
        <v>0.99981000000000053</v>
      </c>
    </row>
    <row r="23" spans="1:8" ht="13.8" thickBot="1">
      <c r="A23" s="8">
        <v>2</v>
      </c>
      <c r="B23" s="17">
        <v>0.99611000000000005</v>
      </c>
      <c r="C23" s="10">
        <f t="shared" si="0"/>
        <v>-1.4000000000002888E-3</v>
      </c>
      <c r="D23" s="11">
        <f t="shared" si="1"/>
        <v>0.99891000000000063</v>
      </c>
      <c r="E23" s="8">
        <v>2</v>
      </c>
      <c r="F23" s="17">
        <v>0.99700999999999995</v>
      </c>
      <c r="G23" s="10">
        <f t="shared" si="2"/>
        <v>-1.3999999999991784E-3</v>
      </c>
      <c r="H23" s="11">
        <f t="shared" si="3"/>
        <v>0.9998099999999982</v>
      </c>
    </row>
    <row r="24" spans="1:8" ht="13.8" thickBot="1">
      <c r="A24" s="13">
        <v>2.1</v>
      </c>
      <c r="B24" s="14">
        <v>0.99597000000000002</v>
      </c>
      <c r="C24" s="10">
        <f t="shared" si="0"/>
        <v>-1.4999999999998335E-3</v>
      </c>
      <c r="D24" s="11">
        <f t="shared" si="1"/>
        <v>0.99911999999999956</v>
      </c>
      <c r="E24" s="13">
        <v>2.1</v>
      </c>
      <c r="F24" s="14">
        <v>0.99687000000000003</v>
      </c>
      <c r="G24" s="10">
        <f t="shared" si="2"/>
        <v>-1.4999999999998335E-3</v>
      </c>
      <c r="H24" s="11">
        <f t="shared" si="3"/>
        <v>1.0000199999999997</v>
      </c>
    </row>
    <row r="25" spans="1:8" ht="13.8" thickBot="1">
      <c r="A25" s="13">
        <v>2.2000000000000002</v>
      </c>
      <c r="B25" s="14">
        <v>0.99582000000000004</v>
      </c>
      <c r="C25" s="10">
        <f t="shared" si="0"/>
        <v>-1.4000000000002949E-3</v>
      </c>
      <c r="D25" s="11">
        <f t="shared" si="1"/>
        <v>0.99890000000000068</v>
      </c>
      <c r="E25" s="13">
        <v>2.2000000000000002</v>
      </c>
      <c r="F25" s="14">
        <v>0.99672000000000005</v>
      </c>
      <c r="G25" s="10">
        <f t="shared" si="2"/>
        <v>-1.4000000000002949E-3</v>
      </c>
      <c r="H25" s="11">
        <f t="shared" si="3"/>
        <v>0.99980000000000069</v>
      </c>
    </row>
    <row r="26" spans="1:8" ht="13.8" thickBot="1">
      <c r="A26" s="13">
        <v>2.2999999999999998</v>
      </c>
      <c r="B26" s="14">
        <v>0.99568000000000001</v>
      </c>
      <c r="C26" s="10">
        <f t="shared" si="0"/>
        <v>-1.4999999999998335E-3</v>
      </c>
      <c r="D26" s="11">
        <f t="shared" si="1"/>
        <v>0.99912999999999963</v>
      </c>
      <c r="E26" s="13">
        <v>2.2999999999999998</v>
      </c>
      <c r="F26" s="14">
        <v>0.99658000000000002</v>
      </c>
      <c r="G26" s="10">
        <f t="shared" si="2"/>
        <v>-1.4999999999998335E-3</v>
      </c>
      <c r="H26" s="11">
        <f t="shared" si="3"/>
        <v>1.0000299999999995</v>
      </c>
    </row>
    <row r="27" spans="1:8" ht="13.8" thickBot="1">
      <c r="A27" s="13">
        <v>2.4</v>
      </c>
      <c r="B27" s="14">
        <v>0.99553000000000003</v>
      </c>
      <c r="C27" s="10">
        <f t="shared" si="0"/>
        <v>-1.4000000000002888E-3</v>
      </c>
      <c r="D27" s="11">
        <f t="shared" si="1"/>
        <v>0.99889000000000072</v>
      </c>
      <c r="E27" s="13">
        <v>2.4</v>
      </c>
      <c r="F27" s="14">
        <v>0.99643000000000004</v>
      </c>
      <c r="G27" s="10">
        <f t="shared" si="2"/>
        <v>-1.4000000000002888E-3</v>
      </c>
      <c r="H27" s="11">
        <f t="shared" si="3"/>
        <v>0.99979000000000073</v>
      </c>
    </row>
    <row r="28" spans="1:8" ht="13.8" thickBot="1">
      <c r="A28" s="13">
        <v>2.5</v>
      </c>
      <c r="B28" s="14">
        <v>0.99539</v>
      </c>
      <c r="C28" s="10">
        <f t="shared" si="0"/>
        <v>-1.4000000000002888E-3</v>
      </c>
      <c r="D28" s="11">
        <f t="shared" si="1"/>
        <v>0.99889000000000072</v>
      </c>
      <c r="E28" s="13">
        <v>2.5</v>
      </c>
      <c r="F28" s="14">
        <v>0.99629000000000001</v>
      </c>
      <c r="G28" s="10">
        <f t="shared" si="2"/>
        <v>-1.4000000000002888E-3</v>
      </c>
      <c r="H28" s="11">
        <f t="shared" si="3"/>
        <v>0.99979000000000073</v>
      </c>
    </row>
    <row r="29" spans="1:8" ht="13.8" thickBot="1">
      <c r="A29" s="13">
        <v>2.6</v>
      </c>
      <c r="B29" s="14">
        <v>0.99524999999999997</v>
      </c>
      <c r="C29" s="10">
        <f t="shared" si="0"/>
        <v>-1.3999999999991784E-3</v>
      </c>
      <c r="D29" s="11">
        <f t="shared" si="1"/>
        <v>0.99888999999999772</v>
      </c>
      <c r="E29" s="13">
        <v>2.6</v>
      </c>
      <c r="F29" s="14">
        <v>0.99614999999999998</v>
      </c>
      <c r="G29" s="10">
        <f t="shared" si="2"/>
        <v>-1.4000000000002888E-3</v>
      </c>
      <c r="H29" s="11">
        <f t="shared" si="3"/>
        <v>0.99979000000000073</v>
      </c>
    </row>
    <row r="30" spans="1:8" ht="13.8" thickBot="1">
      <c r="A30" s="13">
        <v>2.7</v>
      </c>
      <c r="B30" s="14">
        <v>0.99511000000000005</v>
      </c>
      <c r="C30" s="10">
        <f t="shared" si="0"/>
        <v>-1.4000000000002949E-3</v>
      </c>
      <c r="D30" s="11">
        <f t="shared" si="1"/>
        <v>0.99889000000000083</v>
      </c>
      <c r="E30" s="13">
        <v>2.7</v>
      </c>
      <c r="F30" s="14">
        <v>0.99600999999999995</v>
      </c>
      <c r="G30" s="10">
        <f t="shared" si="2"/>
        <v>-1.3999999999991847E-3</v>
      </c>
      <c r="H30" s="11">
        <f t="shared" si="3"/>
        <v>0.99978999999999785</v>
      </c>
    </row>
    <row r="31" spans="1:8" ht="13.8" thickBot="1">
      <c r="A31" s="13">
        <v>2.8</v>
      </c>
      <c r="B31" s="14">
        <v>0.99497000000000002</v>
      </c>
      <c r="C31" s="10">
        <f t="shared" si="0"/>
        <v>-1.4999999999998335E-3</v>
      </c>
      <c r="D31" s="11">
        <f t="shared" si="1"/>
        <v>0.99916999999999956</v>
      </c>
      <c r="E31" s="13">
        <v>2.8</v>
      </c>
      <c r="F31" s="14">
        <v>0.99587000000000003</v>
      </c>
      <c r="G31" s="10">
        <f t="shared" si="2"/>
        <v>-1.4999999999998335E-3</v>
      </c>
      <c r="H31" s="11">
        <f t="shared" si="3"/>
        <v>1.0000699999999996</v>
      </c>
    </row>
    <row r="32" spans="1:8" ht="13.8" thickBot="1">
      <c r="A32" s="13">
        <v>2.9</v>
      </c>
      <c r="B32" s="14">
        <v>0.99482000000000004</v>
      </c>
      <c r="C32" s="10">
        <f t="shared" si="0"/>
        <v>-1.4000000000002888E-3</v>
      </c>
      <c r="D32" s="11">
        <f t="shared" si="1"/>
        <v>0.99888000000000088</v>
      </c>
      <c r="E32" s="13">
        <v>2.9</v>
      </c>
      <c r="F32" s="14">
        <v>0.99572000000000005</v>
      </c>
      <c r="G32" s="10">
        <f t="shared" si="2"/>
        <v>-1.4000000000002888E-3</v>
      </c>
      <c r="H32" s="11">
        <f t="shared" si="3"/>
        <v>0.99978000000000089</v>
      </c>
    </row>
    <row r="33" spans="1:8" ht="13.8" thickBot="1">
      <c r="A33" s="8">
        <v>3</v>
      </c>
      <c r="B33" s="17">
        <v>0.99468000000000001</v>
      </c>
      <c r="C33" s="10">
        <f t="shared" si="0"/>
        <v>-1.4000000000002888E-3</v>
      </c>
      <c r="D33" s="11">
        <f t="shared" si="1"/>
        <v>0.99888000000000088</v>
      </c>
      <c r="E33" s="8">
        <v>3</v>
      </c>
      <c r="F33" s="17">
        <v>0.99558000000000002</v>
      </c>
      <c r="G33" s="10">
        <f t="shared" si="2"/>
        <v>-1.4000000000002888E-3</v>
      </c>
      <c r="H33" s="11">
        <f t="shared" si="3"/>
        <v>0.99978000000000089</v>
      </c>
    </row>
    <row r="34" spans="1:8" ht="13.8" thickBot="1">
      <c r="A34" s="13">
        <v>3.1</v>
      </c>
      <c r="B34" s="14">
        <v>0.99453999999999998</v>
      </c>
      <c r="C34" s="10">
        <f t="shared" si="0"/>
        <v>-1.4000000000002888E-3</v>
      </c>
      <c r="D34" s="11">
        <f t="shared" si="1"/>
        <v>0.99888000000000088</v>
      </c>
      <c r="E34" s="13">
        <v>3.1</v>
      </c>
      <c r="F34" s="14">
        <v>0.99543999999999999</v>
      </c>
      <c r="G34" s="10">
        <f t="shared" si="2"/>
        <v>-1.4000000000002888E-3</v>
      </c>
      <c r="H34" s="11">
        <f t="shared" si="3"/>
        <v>0.99978000000000089</v>
      </c>
    </row>
    <row r="35" spans="1:8" ht="13.8" thickBot="1">
      <c r="A35" s="13">
        <v>3.2</v>
      </c>
      <c r="B35" s="14">
        <v>0.99439999999999995</v>
      </c>
      <c r="C35" s="10">
        <f t="shared" si="0"/>
        <v>-1.3999999999991847E-3</v>
      </c>
      <c r="D35" s="11">
        <f t="shared" si="1"/>
        <v>0.99887999999999733</v>
      </c>
      <c r="E35" s="13">
        <v>3.2</v>
      </c>
      <c r="F35" s="14">
        <v>0.99529999999999996</v>
      </c>
      <c r="G35" s="10">
        <f t="shared" si="2"/>
        <v>-1.3999999999991847E-3</v>
      </c>
      <c r="H35" s="11">
        <f t="shared" si="3"/>
        <v>0.99977999999999745</v>
      </c>
    </row>
    <row r="36" spans="1:8" ht="13.8" thickBot="1">
      <c r="A36" s="13">
        <v>3.3</v>
      </c>
      <c r="B36" s="14">
        <v>0.99426000000000003</v>
      </c>
      <c r="C36" s="10">
        <f t="shared" si="0"/>
        <v>-1.4000000000002888E-3</v>
      </c>
      <c r="D36" s="11">
        <f t="shared" si="1"/>
        <v>0.99888000000000099</v>
      </c>
      <c r="E36" s="13">
        <v>3.3</v>
      </c>
      <c r="F36" s="14">
        <v>0.99516000000000004</v>
      </c>
      <c r="G36" s="10">
        <f t="shared" si="2"/>
        <v>-1.4000000000002888E-3</v>
      </c>
      <c r="H36" s="11">
        <f t="shared" si="3"/>
        <v>0.999780000000001</v>
      </c>
    </row>
    <row r="37" spans="1:8" ht="13.8" thickBot="1">
      <c r="A37" s="13">
        <v>3.4</v>
      </c>
      <c r="B37" s="14">
        <v>0.99412</v>
      </c>
      <c r="C37" s="10">
        <f t="shared" si="0"/>
        <v>-1.2999999999996335E-3</v>
      </c>
      <c r="D37" s="11">
        <f t="shared" si="1"/>
        <v>0.99853999999999876</v>
      </c>
      <c r="E37" s="13">
        <v>3.4</v>
      </c>
      <c r="F37" s="14">
        <v>0.99502000000000002</v>
      </c>
      <c r="G37" s="10">
        <f t="shared" si="2"/>
        <v>-1.2999999999996335E-3</v>
      </c>
      <c r="H37" s="11">
        <f t="shared" si="3"/>
        <v>0.99943999999999877</v>
      </c>
    </row>
    <row r="38" spans="1:8" ht="13.8" thickBot="1">
      <c r="A38" s="13">
        <v>3.5</v>
      </c>
      <c r="B38" s="14">
        <v>0.99399000000000004</v>
      </c>
      <c r="C38" s="10">
        <f t="shared" si="0"/>
        <v>-1.4000000000002888E-3</v>
      </c>
      <c r="D38" s="11">
        <f t="shared" si="1"/>
        <v>0.99889000000000105</v>
      </c>
      <c r="E38" s="13">
        <v>3.5</v>
      </c>
      <c r="F38" s="14">
        <v>0.99489000000000005</v>
      </c>
      <c r="G38" s="10">
        <f t="shared" si="2"/>
        <v>-1.4000000000002888E-3</v>
      </c>
      <c r="H38" s="11">
        <f t="shared" si="3"/>
        <v>0.99979000000000107</v>
      </c>
    </row>
    <row r="39" spans="1:8" ht="13.8" thickBot="1">
      <c r="A39" s="13">
        <v>3.6</v>
      </c>
      <c r="B39" s="14">
        <v>0.99385000000000001</v>
      </c>
      <c r="C39" s="10">
        <f t="shared" si="0"/>
        <v>-1.4000000000002888E-3</v>
      </c>
      <c r="D39" s="11">
        <f t="shared" si="1"/>
        <v>0.99889000000000105</v>
      </c>
      <c r="E39" s="13">
        <v>3.6</v>
      </c>
      <c r="F39" s="14">
        <v>0.99475000000000002</v>
      </c>
      <c r="G39" s="10">
        <f t="shared" si="2"/>
        <v>-1.4000000000002888E-3</v>
      </c>
      <c r="H39" s="11">
        <f t="shared" si="3"/>
        <v>0.99979000000000107</v>
      </c>
    </row>
    <row r="40" spans="1:8" ht="13.8" thickBot="1">
      <c r="A40" s="13">
        <v>3.7</v>
      </c>
      <c r="B40" s="14">
        <v>0.99370999999999998</v>
      </c>
      <c r="C40" s="10">
        <f t="shared" si="0"/>
        <v>-1.4000000000002949E-3</v>
      </c>
      <c r="D40" s="11">
        <f t="shared" si="1"/>
        <v>0.99889000000000105</v>
      </c>
      <c r="E40" s="13">
        <v>3.7</v>
      </c>
      <c r="F40" s="14">
        <v>0.99460999999999999</v>
      </c>
      <c r="G40" s="10">
        <f t="shared" si="2"/>
        <v>-1.4000000000002949E-3</v>
      </c>
      <c r="H40" s="11">
        <f t="shared" si="3"/>
        <v>0.99979000000000107</v>
      </c>
    </row>
    <row r="41" spans="1:8" ht="13.8" thickBot="1">
      <c r="A41" s="13">
        <v>3.8</v>
      </c>
      <c r="B41" s="14">
        <v>0.99356999999999995</v>
      </c>
      <c r="C41" s="10">
        <f t="shared" si="0"/>
        <v>-1.3999999999991784E-3</v>
      </c>
      <c r="D41" s="11">
        <f t="shared" si="1"/>
        <v>0.99888999999999684</v>
      </c>
      <c r="E41" s="13">
        <v>3.8</v>
      </c>
      <c r="F41" s="14">
        <v>0.99446999999999997</v>
      </c>
      <c r="G41" s="10">
        <f t="shared" si="2"/>
        <v>-1.4999999999998335E-3</v>
      </c>
      <c r="H41" s="11">
        <f t="shared" si="3"/>
        <v>1.0001699999999993</v>
      </c>
    </row>
    <row r="42" spans="1:8" ht="13.8" thickBot="1">
      <c r="A42" s="13">
        <v>3.9</v>
      </c>
      <c r="B42" s="14">
        <v>0.99343000000000004</v>
      </c>
      <c r="C42" s="10">
        <f t="shared" si="0"/>
        <v>-1.3000000000007439E-3</v>
      </c>
      <c r="D42" s="11">
        <f t="shared" si="1"/>
        <v>0.99850000000000294</v>
      </c>
      <c r="E42" s="13">
        <v>3.9</v>
      </c>
      <c r="F42" s="14">
        <v>0.99431999999999998</v>
      </c>
      <c r="G42" s="10">
        <f t="shared" si="2"/>
        <v>-1.2999999999996335E-3</v>
      </c>
      <c r="H42" s="11">
        <f t="shared" si="3"/>
        <v>0.99938999999999856</v>
      </c>
    </row>
    <row r="43" spans="1:8" ht="13.8" thickBot="1">
      <c r="A43" s="8">
        <v>4</v>
      </c>
      <c r="B43" s="17">
        <v>0.99329999999999996</v>
      </c>
      <c r="C43" s="10">
        <f t="shared" si="0"/>
        <v>-1.3999999999991847E-3</v>
      </c>
      <c r="D43" s="11">
        <f t="shared" si="1"/>
        <v>0.99889999999999679</v>
      </c>
      <c r="E43" s="8">
        <v>4</v>
      </c>
      <c r="F43" s="17">
        <v>0.99419000000000002</v>
      </c>
      <c r="G43" s="10">
        <f t="shared" si="2"/>
        <v>-1.4000000000002949E-3</v>
      </c>
      <c r="H43" s="11">
        <f t="shared" si="3"/>
        <v>0.99979000000000118</v>
      </c>
    </row>
    <row r="44" spans="1:8" ht="13.8" thickBot="1">
      <c r="A44" s="13">
        <v>4.0999999999999996</v>
      </c>
      <c r="B44" s="14">
        <v>0.99316000000000004</v>
      </c>
      <c r="C44" s="10">
        <f t="shared" si="0"/>
        <v>-1.3000000000007381E-3</v>
      </c>
      <c r="D44" s="11">
        <f t="shared" si="1"/>
        <v>0.9984900000000031</v>
      </c>
      <c r="E44" s="13">
        <v>4.0999999999999996</v>
      </c>
      <c r="F44" s="14">
        <v>0.99404999999999999</v>
      </c>
      <c r="G44" s="10">
        <f t="shared" si="2"/>
        <v>-1.2999999999996278E-3</v>
      </c>
      <c r="H44" s="11">
        <f t="shared" si="3"/>
        <v>0.99937999999999849</v>
      </c>
    </row>
    <row r="45" spans="1:8" ht="13.8" thickBot="1">
      <c r="A45" s="13">
        <v>4.2</v>
      </c>
      <c r="B45" s="14">
        <v>0.99302999999999997</v>
      </c>
      <c r="C45" s="10">
        <f t="shared" si="0"/>
        <v>-1.3999999999991847E-3</v>
      </c>
      <c r="D45" s="11">
        <f t="shared" si="1"/>
        <v>0.99890999999999663</v>
      </c>
      <c r="E45" s="13">
        <v>4.2</v>
      </c>
      <c r="F45" s="14">
        <v>0.99392000000000003</v>
      </c>
      <c r="G45" s="10">
        <f t="shared" si="2"/>
        <v>-1.4000000000002949E-3</v>
      </c>
      <c r="H45" s="11">
        <f t="shared" si="3"/>
        <v>0.99980000000000124</v>
      </c>
    </row>
    <row r="46" spans="1:8" ht="13.8" thickBot="1">
      <c r="A46" s="13">
        <v>4.3</v>
      </c>
      <c r="B46" s="14">
        <v>0.99289000000000005</v>
      </c>
      <c r="C46" s="10">
        <f t="shared" si="0"/>
        <v>-1.4000000000002825E-3</v>
      </c>
      <c r="D46" s="11">
        <f t="shared" si="1"/>
        <v>0.9989100000000013</v>
      </c>
      <c r="E46" s="13">
        <v>4.3</v>
      </c>
      <c r="F46" s="14">
        <v>0.99378</v>
      </c>
      <c r="G46" s="10">
        <f t="shared" si="2"/>
        <v>-1.4000000000002825E-3</v>
      </c>
      <c r="H46" s="11">
        <f t="shared" si="3"/>
        <v>0.99980000000000124</v>
      </c>
    </row>
    <row r="47" spans="1:8" ht="13.8" thickBot="1">
      <c r="A47" s="13">
        <v>4.4000000000000004</v>
      </c>
      <c r="B47" s="14">
        <v>0.99275000000000002</v>
      </c>
      <c r="C47" s="10">
        <f t="shared" si="0"/>
        <v>-1.3000000000007496E-3</v>
      </c>
      <c r="D47" s="11">
        <f t="shared" si="1"/>
        <v>0.99847000000000341</v>
      </c>
      <c r="E47" s="13">
        <v>4.4000000000000004</v>
      </c>
      <c r="F47" s="14">
        <v>0.99363999999999997</v>
      </c>
      <c r="G47" s="10">
        <f t="shared" si="2"/>
        <v>-1.2999999999996393E-3</v>
      </c>
      <c r="H47" s="11">
        <f t="shared" si="3"/>
        <v>0.99935999999999836</v>
      </c>
    </row>
    <row r="48" spans="1:8" ht="13.8" thickBot="1">
      <c r="A48" s="13">
        <v>4.5</v>
      </c>
      <c r="B48" s="14">
        <v>0.99261999999999995</v>
      </c>
      <c r="C48" s="10">
        <f t="shared" si="0"/>
        <v>-1.3999999999991847E-3</v>
      </c>
      <c r="D48" s="11">
        <f t="shared" si="1"/>
        <v>0.99891999999999637</v>
      </c>
      <c r="E48" s="13">
        <v>4.5</v>
      </c>
      <c r="F48" s="14">
        <v>0.99351</v>
      </c>
      <c r="G48" s="10">
        <f t="shared" si="2"/>
        <v>-1.4000000000002949E-3</v>
      </c>
      <c r="H48" s="11">
        <f t="shared" si="3"/>
        <v>0.99981000000000131</v>
      </c>
    </row>
    <row r="49" spans="1:8" ht="13.8" thickBot="1">
      <c r="A49" s="13">
        <v>4.5999999999999996</v>
      </c>
      <c r="B49" s="14">
        <v>0.99248000000000003</v>
      </c>
      <c r="C49" s="10">
        <f t="shared" si="0"/>
        <v>-1.3000000000007381E-3</v>
      </c>
      <c r="D49" s="11">
        <f t="shared" si="1"/>
        <v>0.99846000000000346</v>
      </c>
      <c r="E49" s="13">
        <v>4.5999999999999996</v>
      </c>
      <c r="F49" s="14">
        <v>0.99336999999999998</v>
      </c>
      <c r="G49" s="10">
        <f t="shared" si="2"/>
        <v>-1.2999999999996278E-3</v>
      </c>
      <c r="H49" s="11">
        <f t="shared" si="3"/>
        <v>0.9993499999999983</v>
      </c>
    </row>
    <row r="50" spans="1:8" ht="13.8" thickBot="1">
      <c r="A50" s="13">
        <v>4.7</v>
      </c>
      <c r="B50" s="14">
        <v>0.99234999999999995</v>
      </c>
      <c r="C50" s="10">
        <f t="shared" si="0"/>
        <v>-1.2999999999996393E-3</v>
      </c>
      <c r="D50" s="11">
        <f t="shared" si="1"/>
        <v>0.99845999999999824</v>
      </c>
      <c r="E50" s="13">
        <v>4.7</v>
      </c>
      <c r="F50" s="14">
        <v>0.99324000000000001</v>
      </c>
      <c r="G50" s="10">
        <f t="shared" si="2"/>
        <v>-1.2999999999996393E-3</v>
      </c>
      <c r="H50" s="11">
        <f t="shared" si="3"/>
        <v>0.9993499999999983</v>
      </c>
    </row>
    <row r="51" spans="1:8" ht="13.8" thickBot="1">
      <c r="A51" s="13">
        <v>4.8</v>
      </c>
      <c r="B51" s="14">
        <v>0.99221999999999999</v>
      </c>
      <c r="C51" s="10">
        <f t="shared" si="0"/>
        <v>-1.4000000000002825E-3</v>
      </c>
      <c r="D51" s="11">
        <f t="shared" si="1"/>
        <v>0.99894000000000138</v>
      </c>
      <c r="E51" s="13">
        <v>4.8</v>
      </c>
      <c r="F51" s="14">
        <v>0.99311000000000005</v>
      </c>
      <c r="G51" s="10">
        <f t="shared" si="2"/>
        <v>-1.4000000000002825E-3</v>
      </c>
      <c r="H51" s="11">
        <f t="shared" si="3"/>
        <v>0.99983000000000144</v>
      </c>
    </row>
    <row r="52" spans="1:8" ht="13.8" thickBot="1">
      <c r="A52" s="13">
        <v>4.9000000000000004</v>
      </c>
      <c r="B52" s="14">
        <v>0.99207999999999996</v>
      </c>
      <c r="C52" s="10">
        <f t="shared" si="0"/>
        <v>-1.2999999999996393E-3</v>
      </c>
      <c r="D52" s="11">
        <f t="shared" si="1"/>
        <v>0.99844999999999817</v>
      </c>
      <c r="E52" s="13">
        <v>4.9000000000000004</v>
      </c>
      <c r="F52" s="14">
        <v>0.99297000000000002</v>
      </c>
      <c r="G52" s="10">
        <f t="shared" si="2"/>
        <v>-1.3000000000007496E-3</v>
      </c>
      <c r="H52" s="11">
        <f t="shared" si="3"/>
        <v>0.99934000000000367</v>
      </c>
    </row>
    <row r="53" spans="1:8" ht="13.8" thickBot="1">
      <c r="A53" s="8">
        <v>5</v>
      </c>
      <c r="B53" s="17">
        <v>0.99195</v>
      </c>
      <c r="C53" s="10">
        <f t="shared" si="0"/>
        <v>-1.2999999999996393E-3</v>
      </c>
      <c r="D53" s="11">
        <f t="shared" si="1"/>
        <v>0.99844999999999817</v>
      </c>
      <c r="E53" s="8">
        <v>5</v>
      </c>
      <c r="F53" s="17">
        <v>0.99283999999999994</v>
      </c>
      <c r="G53" s="10">
        <f t="shared" si="2"/>
        <v>-1.2999999999996393E-3</v>
      </c>
      <c r="H53" s="11">
        <f t="shared" si="3"/>
        <v>0.99933999999999812</v>
      </c>
    </row>
    <row r="54" spans="1:8" ht="13.8" thickBot="1">
      <c r="A54" s="13">
        <v>5.0999999999999996</v>
      </c>
      <c r="B54" s="14">
        <v>0.99182000000000003</v>
      </c>
      <c r="C54" s="10">
        <f t="shared" si="0"/>
        <v>-1.3000000000007381E-3</v>
      </c>
      <c r="D54" s="11">
        <f t="shared" si="1"/>
        <v>0.99845000000000372</v>
      </c>
      <c r="E54" s="13">
        <v>5.0999999999999996</v>
      </c>
      <c r="F54" s="14">
        <v>0.99270999999999998</v>
      </c>
      <c r="G54" s="10">
        <f t="shared" si="2"/>
        <v>-1.2999999999996278E-3</v>
      </c>
      <c r="H54" s="11">
        <f t="shared" si="3"/>
        <v>0.99933999999999812</v>
      </c>
    </row>
    <row r="55" spans="1:8" ht="13.8" thickBot="1">
      <c r="A55" s="13">
        <v>5.2</v>
      </c>
      <c r="B55" s="14">
        <v>0.99168999999999996</v>
      </c>
      <c r="C55" s="10">
        <f t="shared" si="0"/>
        <v>-1.3999999999991847E-3</v>
      </c>
      <c r="D55" s="11">
        <f t="shared" si="1"/>
        <v>0.99896999999999569</v>
      </c>
      <c r="E55" s="13">
        <v>5.2</v>
      </c>
      <c r="F55" s="14">
        <v>0.99258000000000002</v>
      </c>
      <c r="G55" s="10">
        <f t="shared" si="2"/>
        <v>-1.4000000000002949E-3</v>
      </c>
      <c r="H55" s="11">
        <f t="shared" si="3"/>
        <v>0.99986000000000153</v>
      </c>
    </row>
    <row r="56" spans="1:8" ht="13.8" thickBot="1">
      <c r="A56" s="13">
        <v>5.3</v>
      </c>
      <c r="B56" s="14">
        <v>0.99155000000000004</v>
      </c>
      <c r="C56" s="10">
        <f t="shared" si="0"/>
        <v>-1.3000000000007381E-3</v>
      </c>
      <c r="D56" s="11">
        <f t="shared" si="1"/>
        <v>0.99844000000000388</v>
      </c>
      <c r="E56" s="13">
        <v>5.3</v>
      </c>
      <c r="F56" s="14">
        <v>0.99243999999999999</v>
      </c>
      <c r="G56" s="10">
        <f t="shared" si="2"/>
        <v>-1.2999999999996278E-3</v>
      </c>
      <c r="H56" s="11">
        <f t="shared" si="3"/>
        <v>0.99932999999999805</v>
      </c>
    </row>
    <row r="57" spans="1:8" ht="13.8" thickBot="1">
      <c r="A57" s="13">
        <v>5.4</v>
      </c>
      <c r="B57" s="14">
        <v>0.99141999999999997</v>
      </c>
      <c r="C57" s="10">
        <f t="shared" si="0"/>
        <v>-1.2999999999996393E-3</v>
      </c>
      <c r="D57" s="11">
        <f t="shared" si="1"/>
        <v>0.998439999999998</v>
      </c>
      <c r="E57" s="13">
        <v>5.4</v>
      </c>
      <c r="F57" s="14">
        <v>0.99231000000000003</v>
      </c>
      <c r="G57" s="10">
        <f t="shared" si="2"/>
        <v>-1.3000000000007496E-3</v>
      </c>
      <c r="H57" s="11">
        <f t="shared" si="3"/>
        <v>0.99933000000000416</v>
      </c>
    </row>
    <row r="58" spans="1:8" ht="13.8" thickBot="1">
      <c r="A58" s="13">
        <v>5.5</v>
      </c>
      <c r="B58" s="14">
        <v>0.99129</v>
      </c>
      <c r="C58" s="10">
        <f t="shared" si="0"/>
        <v>-1.2999999999996393E-3</v>
      </c>
      <c r="D58" s="11">
        <f t="shared" si="1"/>
        <v>0.998439999999998</v>
      </c>
      <c r="E58" s="13">
        <v>5.5</v>
      </c>
      <c r="F58" s="14">
        <v>0.99217999999999995</v>
      </c>
      <c r="G58" s="10">
        <f t="shared" si="2"/>
        <v>-1.2999999999996393E-3</v>
      </c>
      <c r="H58" s="11">
        <f t="shared" si="3"/>
        <v>0.99932999999999794</v>
      </c>
    </row>
    <row r="59" spans="1:8" ht="13.8" thickBot="1">
      <c r="A59" s="13">
        <v>5.6</v>
      </c>
      <c r="B59" s="14">
        <v>0.99116000000000004</v>
      </c>
      <c r="C59" s="10">
        <f t="shared" si="0"/>
        <v>-1.3000000000007381E-3</v>
      </c>
      <c r="D59" s="11">
        <f t="shared" si="1"/>
        <v>0.99844000000000421</v>
      </c>
      <c r="E59" s="13">
        <v>5.6</v>
      </c>
      <c r="F59" s="14">
        <v>0.99204999999999999</v>
      </c>
      <c r="G59" s="10">
        <f t="shared" si="2"/>
        <v>-1.2999999999996278E-3</v>
      </c>
      <c r="H59" s="11">
        <f t="shared" si="3"/>
        <v>0.99932999999999794</v>
      </c>
    </row>
    <row r="60" spans="1:8" ht="13.8" thickBot="1">
      <c r="A60" s="13">
        <v>5.7</v>
      </c>
      <c r="B60" s="14">
        <v>0.99102999999999997</v>
      </c>
      <c r="C60" s="10">
        <f t="shared" si="0"/>
        <v>-1.2999999999996393E-3</v>
      </c>
      <c r="D60" s="11">
        <f t="shared" si="1"/>
        <v>0.99843999999999788</v>
      </c>
      <c r="E60" s="13">
        <v>5.7</v>
      </c>
      <c r="F60" s="14">
        <v>0.99192000000000002</v>
      </c>
      <c r="G60" s="10">
        <f t="shared" si="2"/>
        <v>-1.3000000000007496E-3</v>
      </c>
      <c r="H60" s="11">
        <f t="shared" si="3"/>
        <v>0.99933000000000427</v>
      </c>
    </row>
    <row r="61" spans="1:8" ht="13.8" thickBot="1">
      <c r="A61" s="13">
        <v>5.8</v>
      </c>
      <c r="B61" s="14">
        <v>0.9909</v>
      </c>
      <c r="C61" s="10">
        <f t="shared" si="0"/>
        <v>-1.2999999999996278E-3</v>
      </c>
      <c r="D61" s="11">
        <f t="shared" si="1"/>
        <v>0.99843999999999788</v>
      </c>
      <c r="E61" s="13">
        <v>5.8</v>
      </c>
      <c r="F61" s="14">
        <v>0.99178999999999995</v>
      </c>
      <c r="G61" s="10">
        <f t="shared" si="2"/>
        <v>-1.2999999999996278E-3</v>
      </c>
      <c r="H61" s="11">
        <f t="shared" si="3"/>
        <v>0.99932999999999783</v>
      </c>
    </row>
    <row r="62" spans="1:8" ht="13.8" thickBot="1">
      <c r="A62" s="13">
        <v>5.9</v>
      </c>
      <c r="B62" s="14">
        <v>0.99077000000000004</v>
      </c>
      <c r="C62" s="10">
        <f t="shared" si="0"/>
        <v>-1.3000000000007496E-3</v>
      </c>
      <c r="D62" s="11">
        <f t="shared" si="1"/>
        <v>0.99844000000000444</v>
      </c>
      <c r="E62" s="13">
        <v>5.9</v>
      </c>
      <c r="F62" s="14">
        <v>0.99165999999999999</v>
      </c>
      <c r="G62" s="10">
        <f t="shared" si="2"/>
        <v>-1.2999999999996393E-3</v>
      </c>
      <c r="H62" s="11">
        <f t="shared" si="3"/>
        <v>0.99932999999999783</v>
      </c>
    </row>
    <row r="63" spans="1:8" ht="13.8" thickBot="1">
      <c r="A63" s="8">
        <v>6</v>
      </c>
      <c r="B63" s="17">
        <v>0.99063999999999997</v>
      </c>
      <c r="C63" s="10">
        <f t="shared" si="0"/>
        <v>-1.2999999999996393E-3</v>
      </c>
      <c r="D63" s="11">
        <f t="shared" si="1"/>
        <v>0.99843999999999777</v>
      </c>
      <c r="E63" s="8">
        <v>6</v>
      </c>
      <c r="F63" s="17">
        <v>0.99153000000000002</v>
      </c>
      <c r="G63" s="10">
        <f t="shared" si="2"/>
        <v>-1.3000000000007496E-3</v>
      </c>
      <c r="H63" s="11">
        <f t="shared" si="3"/>
        <v>0.9993300000000046</v>
      </c>
    </row>
    <row r="64" spans="1:8" ht="13.8" thickBot="1">
      <c r="A64" s="13">
        <v>6.1</v>
      </c>
      <c r="B64" s="14">
        <v>0.99051</v>
      </c>
      <c r="C64" s="10">
        <f t="shared" si="0"/>
        <v>-1.2999999999996278E-3</v>
      </c>
      <c r="D64" s="11">
        <f t="shared" si="1"/>
        <v>0.99843999999999777</v>
      </c>
      <c r="E64" s="13">
        <v>6.1</v>
      </c>
      <c r="F64" s="14">
        <v>0.99139999999999995</v>
      </c>
      <c r="G64" s="10">
        <f t="shared" si="2"/>
        <v>-1.2999999999996278E-3</v>
      </c>
      <c r="H64" s="11">
        <f t="shared" si="3"/>
        <v>0.99932999999999772</v>
      </c>
    </row>
    <row r="65" spans="1:8" ht="13.8" thickBot="1">
      <c r="A65" s="13">
        <v>6.2</v>
      </c>
      <c r="B65" s="14">
        <v>0.99038000000000004</v>
      </c>
      <c r="C65" s="10">
        <f t="shared" si="0"/>
        <v>-1.3000000000007496E-3</v>
      </c>
      <c r="D65" s="11">
        <f t="shared" si="1"/>
        <v>0.99844000000000477</v>
      </c>
      <c r="E65" s="13">
        <v>6.2</v>
      </c>
      <c r="F65" s="14">
        <v>0.99126999999999998</v>
      </c>
      <c r="G65" s="10">
        <f t="shared" si="2"/>
        <v>-1.2999999999996393E-3</v>
      </c>
      <c r="H65" s="11">
        <f t="shared" si="3"/>
        <v>0.99932999999999772</v>
      </c>
    </row>
    <row r="66" spans="1:8" ht="13.8" thickBot="1">
      <c r="A66" s="13">
        <v>6.3</v>
      </c>
      <c r="B66" s="14">
        <v>0.99024999999999996</v>
      </c>
      <c r="C66" s="10">
        <f t="shared" si="0"/>
        <v>-1.2999999999996278E-3</v>
      </c>
      <c r="D66" s="11">
        <f t="shared" si="1"/>
        <v>0.99843999999999766</v>
      </c>
      <c r="E66" s="13">
        <v>6.3</v>
      </c>
      <c r="F66" s="14">
        <v>0.99114000000000002</v>
      </c>
      <c r="G66" s="10">
        <f t="shared" si="2"/>
        <v>-1.3000000000007381E-3</v>
      </c>
      <c r="H66" s="11">
        <f t="shared" si="3"/>
        <v>0.9993300000000046</v>
      </c>
    </row>
    <row r="67" spans="1:8" ht="13.8" thickBot="1">
      <c r="A67" s="13">
        <v>6.4</v>
      </c>
      <c r="B67" s="14">
        <v>0.99012</v>
      </c>
      <c r="C67" s="10">
        <f t="shared" si="0"/>
        <v>-1.2000000000000942E-3</v>
      </c>
      <c r="D67" s="11">
        <f t="shared" si="1"/>
        <v>0.99780000000000058</v>
      </c>
      <c r="E67" s="13">
        <v>6.4</v>
      </c>
      <c r="F67" s="14">
        <v>0.99100999999999995</v>
      </c>
      <c r="G67" s="10">
        <f t="shared" si="2"/>
        <v>-1.199999999998984E-3</v>
      </c>
      <c r="H67" s="11">
        <f t="shared" si="3"/>
        <v>0.99868999999999342</v>
      </c>
    </row>
    <row r="68" spans="1:8" ht="13.8" thickBot="1">
      <c r="A68" s="13">
        <v>6.5</v>
      </c>
      <c r="B68" s="14">
        <v>0.99</v>
      </c>
      <c r="C68" s="10">
        <f t="shared" ref="C68:C131" si="4">SLOPE(B68:B69,A68:A69)</f>
        <v>-1.2999999999996393E-3</v>
      </c>
      <c r="D68" s="11">
        <f t="shared" ref="D68:D131" si="5">INTERCEPT(B68:B69,A68:A69)</f>
        <v>0.99844999999999762</v>
      </c>
      <c r="E68" s="13">
        <v>6.5</v>
      </c>
      <c r="F68" s="14">
        <v>0.99089000000000005</v>
      </c>
      <c r="G68" s="10">
        <f t="shared" ref="G68:G131" si="6">SLOPE(F68:F69,E68:E69)</f>
        <v>-1.3000000000007496E-3</v>
      </c>
      <c r="H68" s="11">
        <f t="shared" ref="H68:H131" si="7">INTERCEPT(F68:F69,E68:E69)</f>
        <v>0.999340000000005</v>
      </c>
    </row>
    <row r="69" spans="1:8" ht="13.8" thickBot="1">
      <c r="A69" s="13">
        <v>6.6</v>
      </c>
      <c r="B69" s="14">
        <v>0.98987000000000003</v>
      </c>
      <c r="C69" s="10">
        <f t="shared" si="4"/>
        <v>-1.3000000000007381E-3</v>
      </c>
      <c r="D69" s="11">
        <f t="shared" si="5"/>
        <v>0.99845000000000494</v>
      </c>
      <c r="E69" s="13">
        <v>6.6</v>
      </c>
      <c r="F69" s="14">
        <v>0.99075999999999997</v>
      </c>
      <c r="G69" s="10">
        <f t="shared" si="6"/>
        <v>-1.2999999999996278E-3</v>
      </c>
      <c r="H69" s="11">
        <f t="shared" si="7"/>
        <v>0.99933999999999756</v>
      </c>
    </row>
    <row r="70" spans="1:8" ht="13.8" thickBot="1">
      <c r="A70" s="13">
        <v>6.7</v>
      </c>
      <c r="B70" s="14">
        <v>0.98973999999999995</v>
      </c>
      <c r="C70" s="10">
        <f t="shared" si="4"/>
        <v>-1.199999999998984E-3</v>
      </c>
      <c r="D70" s="11">
        <f t="shared" si="5"/>
        <v>0.99777999999999312</v>
      </c>
      <c r="E70" s="13">
        <v>6.7</v>
      </c>
      <c r="F70" s="14">
        <v>0.99063000000000001</v>
      </c>
      <c r="G70" s="10">
        <f t="shared" si="6"/>
        <v>-1.2000000000000942E-3</v>
      </c>
      <c r="H70" s="11">
        <f t="shared" si="7"/>
        <v>0.99867000000000061</v>
      </c>
    </row>
    <row r="71" spans="1:8" ht="13.8" thickBot="1">
      <c r="A71" s="13">
        <v>6.8</v>
      </c>
      <c r="B71" s="14">
        <v>0.98962000000000006</v>
      </c>
      <c r="C71" s="10">
        <f t="shared" si="4"/>
        <v>-1.3000000000007381E-3</v>
      </c>
      <c r="D71" s="11">
        <f t="shared" si="5"/>
        <v>0.99846000000000501</v>
      </c>
      <c r="E71" s="13">
        <v>6.8</v>
      </c>
      <c r="F71" s="14">
        <v>0.99051</v>
      </c>
      <c r="G71" s="10">
        <f t="shared" si="6"/>
        <v>-1.2999999999996278E-3</v>
      </c>
      <c r="H71" s="11">
        <f t="shared" si="7"/>
        <v>0.99934999999999752</v>
      </c>
    </row>
    <row r="72" spans="1:8" ht="13.8" thickBot="1">
      <c r="A72" s="13">
        <v>6.9</v>
      </c>
      <c r="B72" s="14">
        <v>0.98948999999999998</v>
      </c>
      <c r="C72" s="10">
        <f t="shared" si="4"/>
        <v>-1.2999999999996393E-3</v>
      </c>
      <c r="D72" s="11">
        <f t="shared" si="5"/>
        <v>0.99845999999999746</v>
      </c>
      <c r="E72" s="13">
        <v>6.9</v>
      </c>
      <c r="F72" s="14">
        <v>0.99038000000000004</v>
      </c>
      <c r="G72" s="10">
        <f t="shared" si="6"/>
        <v>-1.3000000000007496E-3</v>
      </c>
      <c r="H72" s="11">
        <f t="shared" si="7"/>
        <v>0.99935000000000529</v>
      </c>
    </row>
    <row r="73" spans="1:8" ht="13.8" thickBot="1">
      <c r="A73" s="8">
        <v>7</v>
      </c>
      <c r="B73" s="17">
        <v>0.98936000000000002</v>
      </c>
      <c r="C73" s="10">
        <f t="shared" si="4"/>
        <v>-1.2000000000000942E-3</v>
      </c>
      <c r="D73" s="11">
        <f t="shared" si="5"/>
        <v>0.99776000000000076</v>
      </c>
      <c r="E73" s="8">
        <v>7</v>
      </c>
      <c r="F73" s="17">
        <v>0.99024999999999996</v>
      </c>
      <c r="G73" s="10">
        <f t="shared" si="6"/>
        <v>-1.2000000000000942E-3</v>
      </c>
      <c r="H73" s="11">
        <f t="shared" si="7"/>
        <v>0.99865000000000059</v>
      </c>
    </row>
    <row r="74" spans="1:8" ht="13.8" thickBot="1">
      <c r="A74" s="13">
        <v>7.1</v>
      </c>
      <c r="B74" s="14">
        <v>0.98924000000000001</v>
      </c>
      <c r="C74" s="10">
        <f t="shared" si="4"/>
        <v>-1.2999999999996278E-3</v>
      </c>
      <c r="D74" s="11">
        <f t="shared" si="5"/>
        <v>0.99846999999999742</v>
      </c>
      <c r="E74" s="13">
        <v>7.1</v>
      </c>
      <c r="F74" s="14">
        <v>0.99012999999999995</v>
      </c>
      <c r="G74" s="10">
        <f t="shared" si="6"/>
        <v>-1.2999999999996278E-3</v>
      </c>
      <c r="H74" s="11">
        <f t="shared" si="7"/>
        <v>0.99935999999999736</v>
      </c>
    </row>
    <row r="75" spans="1:8" ht="13.8" thickBot="1">
      <c r="A75" s="13">
        <v>7.2</v>
      </c>
      <c r="B75" s="14">
        <v>0.98911000000000004</v>
      </c>
      <c r="C75" s="10">
        <f t="shared" si="4"/>
        <v>-1.2000000000000942E-3</v>
      </c>
      <c r="D75" s="11">
        <f t="shared" si="5"/>
        <v>0.99775000000000069</v>
      </c>
      <c r="E75" s="13">
        <v>7.2</v>
      </c>
      <c r="F75" s="14">
        <v>0.99</v>
      </c>
      <c r="G75" s="10">
        <f t="shared" si="6"/>
        <v>-1.2000000000000942E-3</v>
      </c>
      <c r="H75" s="11">
        <f t="shared" si="7"/>
        <v>0.99864000000000075</v>
      </c>
    </row>
    <row r="76" spans="1:8" ht="13.8" thickBot="1">
      <c r="A76" s="13">
        <v>7.3</v>
      </c>
      <c r="B76" s="14">
        <v>0.98899000000000004</v>
      </c>
      <c r="C76" s="10">
        <f t="shared" si="4"/>
        <v>-1.3000000000007381E-3</v>
      </c>
      <c r="D76" s="11">
        <f t="shared" si="5"/>
        <v>0.99848000000000547</v>
      </c>
      <c r="E76" s="13">
        <v>7.3</v>
      </c>
      <c r="F76" s="14">
        <v>0.98987999999999998</v>
      </c>
      <c r="G76" s="10">
        <f t="shared" si="6"/>
        <v>-1.2999999999996278E-3</v>
      </c>
      <c r="H76" s="11">
        <f t="shared" si="7"/>
        <v>0.99936999999999732</v>
      </c>
    </row>
    <row r="77" spans="1:8" ht="13.8" thickBot="1">
      <c r="A77" s="13">
        <v>7.4</v>
      </c>
      <c r="B77" s="14">
        <v>0.98885999999999996</v>
      </c>
      <c r="C77" s="10">
        <f t="shared" si="4"/>
        <v>-1.2000000000000942E-3</v>
      </c>
      <c r="D77" s="11">
        <f t="shared" si="5"/>
        <v>0.99774000000000063</v>
      </c>
      <c r="E77" s="13">
        <v>7.4</v>
      </c>
      <c r="F77" s="14">
        <v>0.98975000000000002</v>
      </c>
      <c r="G77" s="10">
        <f t="shared" si="6"/>
        <v>-1.2000000000000942E-3</v>
      </c>
      <c r="H77" s="11">
        <f t="shared" si="7"/>
        <v>0.99863000000000068</v>
      </c>
    </row>
    <row r="78" spans="1:8" ht="13.8" thickBot="1">
      <c r="A78" s="13">
        <v>7.5</v>
      </c>
      <c r="B78" s="14">
        <v>0.98873999999999995</v>
      </c>
      <c r="C78" s="10">
        <f t="shared" si="4"/>
        <v>-1.2999999999996393E-3</v>
      </c>
      <c r="D78" s="11">
        <f t="shared" si="5"/>
        <v>0.99848999999999721</v>
      </c>
      <c r="E78" s="13">
        <v>7.5</v>
      </c>
      <c r="F78" s="14">
        <v>0.98963000000000001</v>
      </c>
      <c r="G78" s="10">
        <f t="shared" si="6"/>
        <v>-1.2999999999996393E-3</v>
      </c>
      <c r="H78" s="11">
        <f t="shared" si="7"/>
        <v>0.99937999999999727</v>
      </c>
    </row>
    <row r="79" spans="1:8" ht="13.8" thickBot="1">
      <c r="A79" s="13">
        <v>7.6</v>
      </c>
      <c r="B79" s="14">
        <v>0.98860999999999999</v>
      </c>
      <c r="C79" s="10">
        <f t="shared" si="4"/>
        <v>-1.2000000000000836E-3</v>
      </c>
      <c r="D79" s="11">
        <f t="shared" si="5"/>
        <v>0.99773000000000067</v>
      </c>
      <c r="E79" s="13">
        <v>7.6</v>
      </c>
      <c r="F79" s="14">
        <v>0.98950000000000005</v>
      </c>
      <c r="G79" s="10">
        <f t="shared" si="6"/>
        <v>-1.2000000000000836E-3</v>
      </c>
      <c r="H79" s="11">
        <f t="shared" si="7"/>
        <v>0.99862000000000073</v>
      </c>
    </row>
    <row r="80" spans="1:8" ht="13.8" thickBot="1">
      <c r="A80" s="13">
        <v>7.7</v>
      </c>
      <c r="B80" s="14">
        <v>0.98848999999999998</v>
      </c>
      <c r="C80" s="10">
        <f t="shared" si="4"/>
        <v>-1.2000000000000942E-3</v>
      </c>
      <c r="D80" s="11">
        <f t="shared" si="5"/>
        <v>0.99773000000000067</v>
      </c>
      <c r="E80" s="13">
        <v>7.7</v>
      </c>
      <c r="F80" s="14">
        <v>0.98938000000000004</v>
      </c>
      <c r="G80" s="10">
        <f t="shared" si="6"/>
        <v>-1.2000000000000942E-3</v>
      </c>
      <c r="H80" s="11">
        <f t="shared" si="7"/>
        <v>0.99862000000000073</v>
      </c>
    </row>
    <row r="81" spans="1:8" ht="13.8" thickBot="1">
      <c r="A81" s="13">
        <v>7.8</v>
      </c>
      <c r="B81" s="14">
        <v>0.98836999999999997</v>
      </c>
      <c r="C81" s="10">
        <f t="shared" si="4"/>
        <v>-1.2999999999996278E-3</v>
      </c>
      <c r="D81" s="11">
        <f t="shared" si="5"/>
        <v>0.99850999999999712</v>
      </c>
      <c r="E81" s="13">
        <v>7.8</v>
      </c>
      <c r="F81" s="14">
        <v>0.98926000000000003</v>
      </c>
      <c r="G81" s="10">
        <f t="shared" si="6"/>
        <v>-1.3000000000007381E-3</v>
      </c>
      <c r="H81" s="11">
        <f t="shared" si="7"/>
        <v>0.99940000000000584</v>
      </c>
    </row>
    <row r="82" spans="1:8" ht="13.8" thickBot="1">
      <c r="A82" s="13">
        <v>7.9</v>
      </c>
      <c r="B82" s="14">
        <v>0.98824000000000001</v>
      </c>
      <c r="C82" s="10">
        <f t="shared" si="4"/>
        <v>-1.2000000000000942E-3</v>
      </c>
      <c r="D82" s="11">
        <f t="shared" si="5"/>
        <v>0.99772000000000083</v>
      </c>
      <c r="E82" s="13">
        <v>7.9</v>
      </c>
      <c r="F82" s="14">
        <v>0.98912999999999995</v>
      </c>
      <c r="G82" s="10">
        <f t="shared" si="6"/>
        <v>-1.2000000000000942E-3</v>
      </c>
      <c r="H82" s="11">
        <f t="shared" si="7"/>
        <v>0.99861000000000066</v>
      </c>
    </row>
    <row r="83" spans="1:8" ht="13.8" thickBot="1">
      <c r="A83" s="8">
        <v>8</v>
      </c>
      <c r="B83" s="17">
        <v>0.98812</v>
      </c>
      <c r="C83" s="10">
        <f t="shared" si="4"/>
        <v>-1.2000000000000942E-3</v>
      </c>
      <c r="D83" s="11">
        <f t="shared" si="5"/>
        <v>0.99772000000000072</v>
      </c>
      <c r="E83" s="8">
        <v>8</v>
      </c>
      <c r="F83" s="17">
        <v>0.98900999999999994</v>
      </c>
      <c r="G83" s="10">
        <f t="shared" si="6"/>
        <v>-1.199999999998984E-3</v>
      </c>
      <c r="H83" s="11">
        <f t="shared" si="7"/>
        <v>0.99860999999999178</v>
      </c>
    </row>
    <row r="84" spans="1:8" ht="13.8" thickBot="1">
      <c r="A84" s="13">
        <v>8.1</v>
      </c>
      <c r="B84" s="14">
        <v>0.98799999999999999</v>
      </c>
      <c r="C84" s="10">
        <f t="shared" si="4"/>
        <v>-1.2000000000000942E-3</v>
      </c>
      <c r="D84" s="11">
        <f t="shared" si="5"/>
        <v>0.99772000000000083</v>
      </c>
      <c r="E84" s="13">
        <v>8.1</v>
      </c>
      <c r="F84" s="14">
        <v>0.98889000000000005</v>
      </c>
      <c r="G84" s="10">
        <f t="shared" si="6"/>
        <v>-1.2000000000000942E-3</v>
      </c>
      <c r="H84" s="11">
        <f t="shared" si="7"/>
        <v>0.99861000000000089</v>
      </c>
    </row>
    <row r="85" spans="1:8" ht="13.8" thickBot="1">
      <c r="A85" s="13">
        <v>8.1999999999999993</v>
      </c>
      <c r="B85" s="14">
        <v>0.98787999999999998</v>
      </c>
      <c r="C85" s="10">
        <f t="shared" si="4"/>
        <v>-1.2999999999996163E-3</v>
      </c>
      <c r="D85" s="11">
        <f t="shared" si="5"/>
        <v>0.99853999999999687</v>
      </c>
      <c r="E85" s="13">
        <v>8.1999999999999993</v>
      </c>
      <c r="F85" s="14">
        <v>0.98877000000000004</v>
      </c>
      <c r="G85" s="10">
        <f t="shared" si="6"/>
        <v>-1.3000000000007264E-3</v>
      </c>
      <c r="H85" s="11">
        <f t="shared" si="7"/>
        <v>0.99943000000000592</v>
      </c>
    </row>
    <row r="86" spans="1:8" ht="13.8" thickBot="1">
      <c r="A86" s="13">
        <v>8.3000000000000007</v>
      </c>
      <c r="B86" s="14">
        <v>0.98775000000000002</v>
      </c>
      <c r="C86" s="10">
        <f t="shared" si="4"/>
        <v>-1.2000000000000942E-3</v>
      </c>
      <c r="D86" s="11">
        <f t="shared" si="5"/>
        <v>0.99771000000000076</v>
      </c>
      <c r="E86" s="13">
        <v>8.3000000000000007</v>
      </c>
      <c r="F86" s="14">
        <v>0.98863999999999996</v>
      </c>
      <c r="G86" s="10">
        <f t="shared" si="6"/>
        <v>-1.200000000000094E-3</v>
      </c>
      <c r="H86" s="11">
        <f t="shared" si="7"/>
        <v>0.99860000000000082</v>
      </c>
    </row>
    <row r="87" spans="1:8" ht="13.8" thickBot="1">
      <c r="A87" s="13">
        <v>8.4</v>
      </c>
      <c r="B87" s="14">
        <v>0.98763000000000001</v>
      </c>
      <c r="C87" s="10">
        <f t="shared" si="4"/>
        <v>-1.2000000000000942E-3</v>
      </c>
      <c r="D87" s="11">
        <f t="shared" si="5"/>
        <v>0.99771000000000087</v>
      </c>
      <c r="E87" s="13">
        <v>8.4</v>
      </c>
      <c r="F87" s="14">
        <v>0.98851999999999995</v>
      </c>
      <c r="G87" s="10">
        <f t="shared" si="6"/>
        <v>-1.200000000000094E-3</v>
      </c>
      <c r="H87" s="11">
        <f t="shared" si="7"/>
        <v>0.99860000000000071</v>
      </c>
    </row>
    <row r="88" spans="1:8" ht="13.8" thickBot="1">
      <c r="A88" s="13">
        <v>8.5</v>
      </c>
      <c r="B88" s="14">
        <v>0.98751</v>
      </c>
      <c r="C88" s="10">
        <f t="shared" si="4"/>
        <v>-1.2000000000000942E-3</v>
      </c>
      <c r="D88" s="11">
        <f t="shared" si="5"/>
        <v>0.99771000000000076</v>
      </c>
      <c r="E88" s="13">
        <v>8.5</v>
      </c>
      <c r="F88" s="14">
        <v>0.98839999999999995</v>
      </c>
      <c r="G88" s="10">
        <f t="shared" si="6"/>
        <v>-1.199999999998984E-3</v>
      </c>
      <c r="H88" s="11">
        <f t="shared" si="7"/>
        <v>0.99859999999999127</v>
      </c>
    </row>
    <row r="89" spans="1:8" ht="13.8" thickBot="1">
      <c r="A89" s="13">
        <v>8.6</v>
      </c>
      <c r="B89" s="14">
        <v>0.98738999999999999</v>
      </c>
      <c r="C89" s="10">
        <f t="shared" si="4"/>
        <v>-1.2000000000000942E-3</v>
      </c>
      <c r="D89" s="11">
        <f t="shared" si="5"/>
        <v>0.99771000000000087</v>
      </c>
      <c r="E89" s="13">
        <v>8.6</v>
      </c>
      <c r="F89" s="14">
        <v>0.98828000000000005</v>
      </c>
      <c r="G89" s="10">
        <f t="shared" si="6"/>
        <v>-1.2000000000000942E-3</v>
      </c>
      <c r="H89" s="11">
        <f t="shared" si="7"/>
        <v>0.99860000000000093</v>
      </c>
    </row>
    <row r="90" spans="1:8" ht="13.8" thickBot="1">
      <c r="A90" s="13">
        <v>8.6999999999999993</v>
      </c>
      <c r="B90" s="14">
        <v>0.98726999999999998</v>
      </c>
      <c r="C90" s="10">
        <f t="shared" si="4"/>
        <v>-1.2000000000000728E-3</v>
      </c>
      <c r="D90" s="11">
        <f t="shared" si="5"/>
        <v>0.99771000000000054</v>
      </c>
      <c r="E90" s="13">
        <v>8.6999999999999993</v>
      </c>
      <c r="F90" s="14">
        <v>0.98816000000000004</v>
      </c>
      <c r="G90" s="10">
        <f t="shared" si="6"/>
        <v>-1.2000000000000728E-3</v>
      </c>
      <c r="H90" s="11">
        <f t="shared" si="7"/>
        <v>0.9986000000000006</v>
      </c>
    </row>
    <row r="91" spans="1:8" ht="13.8" thickBot="1">
      <c r="A91" s="13">
        <v>8.8000000000000007</v>
      </c>
      <c r="B91" s="14">
        <v>0.98714999999999997</v>
      </c>
      <c r="C91" s="10">
        <f t="shared" si="4"/>
        <v>-1.200000000000094E-3</v>
      </c>
      <c r="D91" s="11">
        <f t="shared" si="5"/>
        <v>0.99771000000000087</v>
      </c>
      <c r="E91" s="13">
        <v>8.8000000000000007</v>
      </c>
      <c r="F91" s="14">
        <v>0.98804000000000003</v>
      </c>
      <c r="G91" s="10">
        <f t="shared" si="6"/>
        <v>-1.200000000000094E-3</v>
      </c>
      <c r="H91" s="11">
        <f t="shared" si="7"/>
        <v>0.99860000000000093</v>
      </c>
    </row>
    <row r="92" spans="1:8" ht="13.8" thickBot="1">
      <c r="A92" s="13">
        <v>8.9</v>
      </c>
      <c r="B92" s="14">
        <v>0.98702999999999996</v>
      </c>
      <c r="C92" s="10">
        <f t="shared" si="4"/>
        <v>-1.200000000000094E-3</v>
      </c>
      <c r="D92" s="11">
        <f t="shared" si="5"/>
        <v>0.99771000000000076</v>
      </c>
      <c r="E92" s="13">
        <v>8.9</v>
      </c>
      <c r="F92" s="14">
        <v>0.98792000000000002</v>
      </c>
      <c r="G92" s="10">
        <f t="shared" si="6"/>
        <v>-1.200000000000094E-3</v>
      </c>
      <c r="H92" s="11">
        <f t="shared" si="7"/>
        <v>0.99860000000000082</v>
      </c>
    </row>
    <row r="93" spans="1:8" ht="13.8" thickBot="1">
      <c r="A93" s="8">
        <v>9</v>
      </c>
      <c r="B93" s="17">
        <v>0.98690999999999995</v>
      </c>
      <c r="C93" s="10">
        <f t="shared" si="4"/>
        <v>-1.200000000000094E-3</v>
      </c>
      <c r="D93" s="11">
        <f t="shared" si="5"/>
        <v>0.99771000000000087</v>
      </c>
      <c r="E93" s="8">
        <v>9</v>
      </c>
      <c r="F93" s="17">
        <v>0.98780000000000001</v>
      </c>
      <c r="G93" s="10">
        <f t="shared" si="6"/>
        <v>-1.200000000000094E-3</v>
      </c>
      <c r="H93" s="11">
        <f t="shared" si="7"/>
        <v>0.99860000000000093</v>
      </c>
    </row>
    <row r="94" spans="1:8" ht="13.8" thickBot="1">
      <c r="A94" s="13">
        <v>9.1</v>
      </c>
      <c r="B94" s="14">
        <v>0.98678999999999994</v>
      </c>
      <c r="C94" s="10">
        <f t="shared" si="4"/>
        <v>-1.199999999998984E-3</v>
      </c>
      <c r="D94" s="11">
        <f t="shared" si="5"/>
        <v>0.99770999999999066</v>
      </c>
      <c r="E94" s="13">
        <v>9.1</v>
      </c>
      <c r="F94" s="14">
        <v>0.98768</v>
      </c>
      <c r="G94" s="10">
        <f t="shared" si="6"/>
        <v>-1.200000000000094E-3</v>
      </c>
      <c r="H94" s="11">
        <f t="shared" si="7"/>
        <v>0.99860000000000082</v>
      </c>
    </row>
    <row r="95" spans="1:8" ht="13.8" thickBot="1">
      <c r="A95" s="13">
        <v>9.1999999999999993</v>
      </c>
      <c r="B95" s="14">
        <v>0.98667000000000005</v>
      </c>
      <c r="C95" s="10">
        <f t="shared" si="4"/>
        <v>-1.2000000000000728E-3</v>
      </c>
      <c r="D95" s="11">
        <f t="shared" si="5"/>
        <v>0.99771000000000065</v>
      </c>
      <c r="E95" s="13">
        <v>9.1999999999999993</v>
      </c>
      <c r="F95" s="14">
        <v>0.98755999999999999</v>
      </c>
      <c r="G95" s="10">
        <f t="shared" si="6"/>
        <v>-1.2000000000000728E-3</v>
      </c>
      <c r="H95" s="11">
        <f t="shared" si="7"/>
        <v>0.99860000000000071</v>
      </c>
    </row>
    <row r="96" spans="1:8" ht="13.8" thickBot="1">
      <c r="A96" s="13">
        <v>9.3000000000000007</v>
      </c>
      <c r="B96" s="14">
        <v>0.98655000000000004</v>
      </c>
      <c r="C96" s="10">
        <f t="shared" si="4"/>
        <v>-1.1000000000005489E-3</v>
      </c>
      <c r="D96" s="11">
        <f t="shared" si="5"/>
        <v>0.99678000000000511</v>
      </c>
      <c r="E96" s="13">
        <v>9.3000000000000007</v>
      </c>
      <c r="F96" s="14">
        <v>0.98743999999999998</v>
      </c>
      <c r="G96" s="10">
        <f t="shared" si="6"/>
        <v>-1.0999999999994387E-3</v>
      </c>
      <c r="H96" s="11">
        <f t="shared" si="7"/>
        <v>0.99766999999999473</v>
      </c>
    </row>
    <row r="97" spans="1:8" ht="13.8" thickBot="1">
      <c r="A97" s="13">
        <v>9.4</v>
      </c>
      <c r="B97" s="14">
        <v>0.98643999999999998</v>
      </c>
      <c r="C97" s="10">
        <f t="shared" si="4"/>
        <v>-1.2000000000000942E-3</v>
      </c>
      <c r="D97" s="11">
        <f t="shared" si="5"/>
        <v>0.99772000000000094</v>
      </c>
      <c r="E97" s="13">
        <v>9.4</v>
      </c>
      <c r="F97" s="14">
        <v>0.98733000000000004</v>
      </c>
      <c r="G97" s="10">
        <f t="shared" si="6"/>
        <v>-1.2000000000000942E-3</v>
      </c>
      <c r="H97" s="11">
        <f t="shared" si="7"/>
        <v>0.998610000000001</v>
      </c>
    </row>
    <row r="98" spans="1:8" ht="13.8" thickBot="1">
      <c r="A98" s="13">
        <v>9.5</v>
      </c>
      <c r="B98" s="14">
        <v>0.98631999999999997</v>
      </c>
      <c r="C98" s="10">
        <f t="shared" si="4"/>
        <v>-1.2000000000000942E-3</v>
      </c>
      <c r="D98" s="11">
        <f t="shared" si="5"/>
        <v>0.99772000000000083</v>
      </c>
      <c r="E98" s="13">
        <v>9.5</v>
      </c>
      <c r="F98" s="14">
        <v>0.98721000000000003</v>
      </c>
      <c r="G98" s="10">
        <f t="shared" si="6"/>
        <v>-1.2000000000000942E-3</v>
      </c>
      <c r="H98" s="11">
        <f t="shared" si="7"/>
        <v>0.99861000000000089</v>
      </c>
    </row>
    <row r="99" spans="1:8" ht="13.8" thickBot="1">
      <c r="A99" s="13">
        <v>9.6</v>
      </c>
      <c r="B99" s="14">
        <v>0.98619999999999997</v>
      </c>
      <c r="C99" s="10">
        <f t="shared" si="4"/>
        <v>-1.2000000000000942E-3</v>
      </c>
      <c r="D99" s="11">
        <f t="shared" si="5"/>
        <v>0.99772000000000094</v>
      </c>
      <c r="E99" s="13">
        <v>9.6</v>
      </c>
      <c r="F99" s="14">
        <v>0.98709000000000002</v>
      </c>
      <c r="G99" s="10">
        <f t="shared" si="6"/>
        <v>-1.2000000000000942E-3</v>
      </c>
      <c r="H99" s="11">
        <f t="shared" si="7"/>
        <v>0.998610000000001</v>
      </c>
    </row>
    <row r="100" spans="1:8" ht="13.8" thickBot="1">
      <c r="A100" s="13">
        <v>9.6999999999999993</v>
      </c>
      <c r="B100" s="14">
        <v>0.98607999999999996</v>
      </c>
      <c r="C100" s="10">
        <f t="shared" si="4"/>
        <v>-1.0999999999994192E-3</v>
      </c>
      <c r="D100" s="11">
        <f t="shared" si="5"/>
        <v>0.99674999999999425</v>
      </c>
      <c r="E100" s="13">
        <v>9.6999999999999993</v>
      </c>
      <c r="F100" s="14">
        <v>0.98697000000000001</v>
      </c>
      <c r="G100" s="10">
        <f t="shared" si="6"/>
        <v>-1.1000000000005292E-3</v>
      </c>
      <c r="H100" s="11">
        <f t="shared" si="7"/>
        <v>0.99764000000000519</v>
      </c>
    </row>
    <row r="101" spans="1:8" ht="13.8" thickBot="1">
      <c r="A101" s="13">
        <v>9.8000000000000007</v>
      </c>
      <c r="B101" s="14">
        <v>0.98597000000000001</v>
      </c>
      <c r="C101" s="10">
        <f t="shared" si="4"/>
        <v>-1.200000000000094E-3</v>
      </c>
      <c r="D101" s="11">
        <f t="shared" si="5"/>
        <v>0.997730000000001</v>
      </c>
      <c r="E101" s="13">
        <v>9.8000000000000007</v>
      </c>
      <c r="F101" s="14">
        <v>0.98685999999999996</v>
      </c>
      <c r="G101" s="10">
        <f t="shared" si="6"/>
        <v>-1.2000000000000942E-3</v>
      </c>
      <c r="H101" s="11">
        <f t="shared" si="7"/>
        <v>0.99862000000000084</v>
      </c>
    </row>
    <row r="102" spans="1:8" ht="13.8" thickBot="1">
      <c r="A102" s="13">
        <v>9.9</v>
      </c>
      <c r="B102" s="14">
        <v>0.98585</v>
      </c>
      <c r="C102" s="10">
        <f t="shared" si="4"/>
        <v>-1.200000000000094E-3</v>
      </c>
      <c r="D102" s="11">
        <f t="shared" si="5"/>
        <v>0.99773000000000089</v>
      </c>
      <c r="E102" s="13">
        <v>9.9</v>
      </c>
      <c r="F102" s="14">
        <v>0.98673999999999995</v>
      </c>
      <c r="G102" s="10">
        <f t="shared" si="6"/>
        <v>-1.199999999998984E-3</v>
      </c>
      <c r="H102" s="11">
        <f t="shared" si="7"/>
        <v>0.99861999999998985</v>
      </c>
    </row>
    <row r="103" spans="1:8" ht="13.8" thickBot="1">
      <c r="A103" s="8">
        <v>10</v>
      </c>
      <c r="B103" s="17">
        <v>0.98573</v>
      </c>
      <c r="C103" s="10">
        <f t="shared" si="4"/>
        <v>-1.0999999999994387E-3</v>
      </c>
      <c r="D103" s="11">
        <f t="shared" si="5"/>
        <v>0.99672999999999445</v>
      </c>
      <c r="E103" s="8">
        <v>10</v>
      </c>
      <c r="F103" s="17">
        <v>0.98662000000000005</v>
      </c>
      <c r="G103" s="10">
        <f t="shared" si="6"/>
        <v>-1.1000000000005489E-3</v>
      </c>
      <c r="H103" s="11">
        <f t="shared" si="7"/>
        <v>0.9976200000000055</v>
      </c>
    </row>
    <row r="104" spans="1:8" ht="13.8" thickBot="1">
      <c r="A104" s="13">
        <v>10.1</v>
      </c>
      <c r="B104" s="14">
        <v>0.98562000000000005</v>
      </c>
      <c r="C104" s="10">
        <f t="shared" si="4"/>
        <v>-1.200000000000094E-3</v>
      </c>
      <c r="D104" s="11">
        <f t="shared" si="5"/>
        <v>0.99774000000000096</v>
      </c>
      <c r="E104" s="13">
        <v>10.1</v>
      </c>
      <c r="F104" s="14">
        <v>0.98651</v>
      </c>
      <c r="G104" s="10">
        <f t="shared" si="6"/>
        <v>-1.2000000000000942E-3</v>
      </c>
      <c r="H104" s="11">
        <f t="shared" si="7"/>
        <v>0.99863000000000102</v>
      </c>
    </row>
    <row r="105" spans="1:8" ht="13.8" thickBot="1">
      <c r="A105" s="18">
        <v>10.199999999999999</v>
      </c>
      <c r="B105" s="19">
        <v>0.98550000000000004</v>
      </c>
      <c r="C105" s="10">
        <f t="shared" si="4"/>
        <v>-1.2000000000000728E-3</v>
      </c>
      <c r="D105" s="11">
        <f t="shared" si="5"/>
        <v>0.99774000000000085</v>
      </c>
      <c r="E105" s="18">
        <v>10.199999999999999</v>
      </c>
      <c r="F105" s="19">
        <v>0.98638999999999999</v>
      </c>
      <c r="G105" s="10">
        <f t="shared" si="6"/>
        <v>-1.2000000000000728E-3</v>
      </c>
      <c r="H105" s="11">
        <f t="shared" si="7"/>
        <v>0.99863000000000068</v>
      </c>
    </row>
    <row r="106" spans="1:8" ht="13.8" thickBot="1">
      <c r="A106" s="13">
        <v>10.3</v>
      </c>
      <c r="B106" s="14">
        <v>0.98538000000000003</v>
      </c>
      <c r="C106" s="10">
        <f t="shared" si="4"/>
        <v>-1.1000000000005489E-3</v>
      </c>
      <c r="D106" s="11">
        <f t="shared" si="5"/>
        <v>0.99671000000000565</v>
      </c>
      <c r="E106" s="13">
        <v>10.3</v>
      </c>
      <c r="F106" s="14">
        <v>0.98626999999999998</v>
      </c>
      <c r="G106" s="10">
        <f t="shared" si="6"/>
        <v>-1.0999999999994387E-3</v>
      </c>
      <c r="H106" s="11">
        <f t="shared" si="7"/>
        <v>0.99759999999999427</v>
      </c>
    </row>
    <row r="107" spans="1:8" ht="13.8" thickBot="1">
      <c r="A107" s="13">
        <v>10.4</v>
      </c>
      <c r="B107" s="14">
        <v>0.98526999999999998</v>
      </c>
      <c r="C107" s="10">
        <f t="shared" si="4"/>
        <v>-1.200000000000094E-3</v>
      </c>
      <c r="D107" s="11">
        <f t="shared" si="5"/>
        <v>0.99775000000000091</v>
      </c>
      <c r="E107" s="13">
        <v>10.4</v>
      </c>
      <c r="F107" s="14">
        <v>0.98616000000000004</v>
      </c>
      <c r="G107" s="10">
        <f t="shared" si="6"/>
        <v>-1.200000000000094E-3</v>
      </c>
      <c r="H107" s="11">
        <f t="shared" si="7"/>
        <v>0.99864000000000097</v>
      </c>
    </row>
    <row r="108" spans="1:8" ht="13.8" thickBot="1">
      <c r="A108" s="13">
        <v>10.5</v>
      </c>
      <c r="B108" s="14">
        <v>0.98514999999999997</v>
      </c>
      <c r="C108" s="10">
        <f t="shared" si="4"/>
        <v>-1.0999999999994387E-3</v>
      </c>
      <c r="D108" s="11">
        <f t="shared" si="5"/>
        <v>0.99669999999999415</v>
      </c>
      <c r="E108" s="13">
        <v>10.5</v>
      </c>
      <c r="F108" s="14">
        <v>0.98604000000000003</v>
      </c>
      <c r="G108" s="10">
        <f t="shared" si="6"/>
        <v>-1.1000000000005489E-3</v>
      </c>
      <c r="H108" s="11">
        <f t="shared" si="7"/>
        <v>0.99759000000000575</v>
      </c>
    </row>
    <row r="109" spans="1:8" ht="13.8" thickBot="1">
      <c r="A109" s="13">
        <v>10.6</v>
      </c>
      <c r="B109" s="14">
        <v>0.98504000000000003</v>
      </c>
      <c r="C109" s="10">
        <f t="shared" si="4"/>
        <v>-1.200000000000094E-3</v>
      </c>
      <c r="D109" s="11">
        <f t="shared" si="5"/>
        <v>0.99776000000000098</v>
      </c>
      <c r="E109" s="13">
        <v>10.6</v>
      </c>
      <c r="F109" s="14">
        <v>0.98592999999999997</v>
      </c>
      <c r="G109" s="10">
        <f t="shared" si="6"/>
        <v>-1.2000000000000942E-3</v>
      </c>
      <c r="H109" s="11">
        <f t="shared" si="7"/>
        <v>0.99865000000000104</v>
      </c>
    </row>
    <row r="110" spans="1:8" ht="13.8" thickBot="1">
      <c r="A110" s="13">
        <v>10.7</v>
      </c>
      <c r="B110" s="14">
        <v>0.98492000000000002</v>
      </c>
      <c r="C110" s="10">
        <f t="shared" si="4"/>
        <v>-1.1000000000005292E-3</v>
      </c>
      <c r="D110" s="11">
        <f t="shared" si="5"/>
        <v>0.99669000000000563</v>
      </c>
      <c r="E110" s="13">
        <v>10.7</v>
      </c>
      <c r="F110" s="14">
        <v>0.98580999999999996</v>
      </c>
      <c r="G110" s="10">
        <f t="shared" si="6"/>
        <v>-1.0999999999994192E-3</v>
      </c>
      <c r="H110" s="11">
        <f t="shared" si="7"/>
        <v>0.99757999999999369</v>
      </c>
    </row>
    <row r="111" spans="1:8" ht="13.8" thickBot="1">
      <c r="A111" s="13">
        <v>10.8</v>
      </c>
      <c r="B111" s="14">
        <v>0.98480999999999996</v>
      </c>
      <c r="C111" s="10">
        <f t="shared" si="4"/>
        <v>-1.0999999999994387E-3</v>
      </c>
      <c r="D111" s="11">
        <f t="shared" si="5"/>
        <v>0.99668999999999397</v>
      </c>
      <c r="E111" s="13">
        <v>10.8</v>
      </c>
      <c r="F111" s="14">
        <v>0.98570000000000002</v>
      </c>
      <c r="G111" s="10">
        <f t="shared" si="6"/>
        <v>-1.1000000000005489E-3</v>
      </c>
      <c r="H111" s="11">
        <f t="shared" si="7"/>
        <v>0.99758000000000591</v>
      </c>
    </row>
    <row r="112" spans="1:8" ht="13.8" thickBot="1">
      <c r="A112" s="13">
        <v>10.9</v>
      </c>
      <c r="B112" s="14">
        <v>0.98470000000000002</v>
      </c>
      <c r="C112" s="10">
        <f t="shared" si="4"/>
        <v>-1.200000000000094E-3</v>
      </c>
      <c r="D112" s="11">
        <f t="shared" si="5"/>
        <v>0.997780000000001</v>
      </c>
      <c r="E112" s="13">
        <v>10.9</v>
      </c>
      <c r="F112" s="14">
        <v>0.98558999999999997</v>
      </c>
      <c r="G112" s="10">
        <f t="shared" si="6"/>
        <v>-1.2000000000000942E-3</v>
      </c>
      <c r="H112" s="11">
        <f t="shared" si="7"/>
        <v>0.99867000000000106</v>
      </c>
    </row>
    <row r="113" spans="1:8" ht="13.8" thickBot="1">
      <c r="A113" s="8">
        <v>11</v>
      </c>
      <c r="B113" s="17">
        <v>0.98458000000000001</v>
      </c>
      <c r="C113" s="10">
        <f t="shared" si="4"/>
        <v>-1.1000000000005489E-3</v>
      </c>
      <c r="D113" s="11">
        <f t="shared" si="5"/>
        <v>0.99668000000000601</v>
      </c>
      <c r="E113" s="8">
        <v>11</v>
      </c>
      <c r="F113" s="17">
        <v>0.98546999999999996</v>
      </c>
      <c r="G113" s="10">
        <f t="shared" si="6"/>
        <v>-1.0999999999994387E-3</v>
      </c>
      <c r="H113" s="11">
        <f t="shared" si="7"/>
        <v>0.99756999999999374</v>
      </c>
    </row>
    <row r="114" spans="1:8" ht="13.8" thickBot="1">
      <c r="A114" s="13">
        <v>11.1</v>
      </c>
      <c r="B114" s="14">
        <v>0.98446999999999996</v>
      </c>
      <c r="C114" s="10">
        <f t="shared" si="4"/>
        <v>-1.0999999999994387E-3</v>
      </c>
      <c r="D114" s="11">
        <f t="shared" si="5"/>
        <v>0.99667999999999379</v>
      </c>
      <c r="E114" s="13">
        <v>11.1</v>
      </c>
      <c r="F114" s="14">
        <v>0.98536000000000001</v>
      </c>
      <c r="G114" s="10">
        <f t="shared" si="6"/>
        <v>-1.1000000000005489E-3</v>
      </c>
      <c r="H114" s="11">
        <f t="shared" si="7"/>
        <v>0.99757000000000606</v>
      </c>
    </row>
    <row r="115" spans="1:8" ht="13.8" thickBot="1">
      <c r="A115" s="13">
        <v>11.2</v>
      </c>
      <c r="B115" s="14">
        <v>0.98436000000000001</v>
      </c>
      <c r="C115" s="10">
        <f t="shared" si="4"/>
        <v>-1.2000000000000728E-3</v>
      </c>
      <c r="D115" s="11">
        <f t="shared" si="5"/>
        <v>0.9978000000000008</v>
      </c>
      <c r="E115" s="13">
        <v>11.2</v>
      </c>
      <c r="F115" s="14">
        <v>0.98524999999999996</v>
      </c>
      <c r="G115" s="10">
        <f t="shared" si="6"/>
        <v>-1.2000000000000728E-3</v>
      </c>
      <c r="H115" s="11">
        <f t="shared" si="7"/>
        <v>0.99869000000000085</v>
      </c>
    </row>
    <row r="116" spans="1:8" ht="13.8" thickBot="1">
      <c r="A116" s="13">
        <v>11.3</v>
      </c>
      <c r="B116" s="14">
        <v>0.98424</v>
      </c>
      <c r="C116" s="10">
        <f t="shared" si="4"/>
        <v>-1.1000000000005489E-3</v>
      </c>
      <c r="D116" s="11">
        <f t="shared" si="5"/>
        <v>0.99667000000000616</v>
      </c>
      <c r="E116" s="13">
        <v>11.3</v>
      </c>
      <c r="F116" s="14">
        <v>0.98512999999999995</v>
      </c>
      <c r="G116" s="10">
        <f t="shared" si="6"/>
        <v>-1.0999999999994387E-3</v>
      </c>
      <c r="H116" s="11">
        <f t="shared" si="7"/>
        <v>0.99755999999999356</v>
      </c>
    </row>
    <row r="117" spans="1:8" ht="13.8" thickBot="1">
      <c r="A117" s="13">
        <v>11.4</v>
      </c>
      <c r="B117" s="14">
        <v>0.98412999999999995</v>
      </c>
      <c r="C117" s="10">
        <f t="shared" si="4"/>
        <v>-1.0999999999994387E-3</v>
      </c>
      <c r="D117" s="11">
        <f t="shared" si="5"/>
        <v>0.99666999999999362</v>
      </c>
      <c r="E117" s="13">
        <v>11.4</v>
      </c>
      <c r="F117" s="14">
        <v>0.98502000000000001</v>
      </c>
      <c r="G117" s="10">
        <f t="shared" si="6"/>
        <v>-1.1000000000005489E-3</v>
      </c>
      <c r="H117" s="11">
        <f t="shared" si="7"/>
        <v>0.99756000000000622</v>
      </c>
    </row>
    <row r="118" spans="1:8" ht="13.8" thickBot="1">
      <c r="A118" s="13">
        <v>11.5</v>
      </c>
      <c r="B118" s="14">
        <v>0.98402000000000001</v>
      </c>
      <c r="C118" s="10">
        <f t="shared" si="4"/>
        <v>-1.1000000000005489E-3</v>
      </c>
      <c r="D118" s="11">
        <f t="shared" si="5"/>
        <v>0.99667000000000627</v>
      </c>
      <c r="E118" s="13">
        <v>11.5</v>
      </c>
      <c r="F118" s="14">
        <v>0.98490999999999995</v>
      </c>
      <c r="G118" s="10">
        <f t="shared" si="6"/>
        <v>-1.0999999999994387E-3</v>
      </c>
      <c r="H118" s="11">
        <f t="shared" si="7"/>
        <v>0.99755999999999356</v>
      </c>
    </row>
    <row r="119" spans="1:8" ht="13.8" thickBot="1">
      <c r="A119" s="13">
        <v>11.6</v>
      </c>
      <c r="B119" s="14">
        <v>0.98390999999999995</v>
      </c>
      <c r="C119" s="10">
        <f t="shared" si="4"/>
        <v>-1.199999999998984E-3</v>
      </c>
      <c r="D119" s="11">
        <f t="shared" si="5"/>
        <v>0.99782999999998812</v>
      </c>
      <c r="E119" s="13">
        <v>11.6</v>
      </c>
      <c r="F119" s="14">
        <v>0.98480000000000001</v>
      </c>
      <c r="G119" s="10">
        <f t="shared" si="6"/>
        <v>-1.200000000000094E-3</v>
      </c>
      <c r="H119" s="11">
        <f t="shared" si="7"/>
        <v>0.99872000000000105</v>
      </c>
    </row>
    <row r="120" spans="1:8" ht="13.8" thickBot="1">
      <c r="A120" s="13">
        <v>11.7</v>
      </c>
      <c r="B120" s="14">
        <v>0.98379000000000005</v>
      </c>
      <c r="C120" s="10">
        <f t="shared" si="4"/>
        <v>-1.1000000000005292E-3</v>
      </c>
      <c r="D120" s="11">
        <f t="shared" si="5"/>
        <v>0.99666000000000621</v>
      </c>
      <c r="E120" s="13">
        <v>11.7</v>
      </c>
      <c r="F120" s="14">
        <v>0.98468</v>
      </c>
      <c r="G120" s="10">
        <f t="shared" si="6"/>
        <v>-1.1000000000005292E-3</v>
      </c>
      <c r="H120" s="11">
        <f t="shared" si="7"/>
        <v>0.99755000000000615</v>
      </c>
    </row>
    <row r="121" spans="1:8" ht="13.8" thickBot="1">
      <c r="A121" s="13">
        <v>11.8</v>
      </c>
      <c r="B121" s="14">
        <v>0.98368</v>
      </c>
      <c r="C121" s="10">
        <f t="shared" si="4"/>
        <v>-1.0999999999994387E-3</v>
      </c>
      <c r="D121" s="11">
        <f t="shared" si="5"/>
        <v>0.99665999999999333</v>
      </c>
      <c r="E121" s="13">
        <v>11.8</v>
      </c>
      <c r="F121" s="14">
        <v>0.98456999999999995</v>
      </c>
      <c r="G121" s="10">
        <f t="shared" si="6"/>
        <v>-1.0999999999994387E-3</v>
      </c>
      <c r="H121" s="11">
        <f t="shared" si="7"/>
        <v>0.99754999999999339</v>
      </c>
    </row>
    <row r="122" spans="1:8" ht="13.8" thickBot="1">
      <c r="A122" s="13">
        <v>11.9</v>
      </c>
      <c r="B122" s="14">
        <v>0.98357000000000006</v>
      </c>
      <c r="C122" s="10">
        <f t="shared" si="4"/>
        <v>-1.1000000000005489E-3</v>
      </c>
      <c r="D122" s="11">
        <f t="shared" si="5"/>
        <v>0.99666000000000654</v>
      </c>
      <c r="E122" s="13">
        <v>11.9</v>
      </c>
      <c r="F122" s="14">
        <v>0.98446</v>
      </c>
      <c r="G122" s="10">
        <f t="shared" si="6"/>
        <v>-1.1000000000005489E-3</v>
      </c>
      <c r="H122" s="11">
        <f t="shared" si="7"/>
        <v>0.99755000000000649</v>
      </c>
    </row>
    <row r="123" spans="1:8" ht="13.8" thickBot="1">
      <c r="A123" s="8">
        <v>12</v>
      </c>
      <c r="B123" s="17">
        <v>0.98346</v>
      </c>
      <c r="C123" s="10">
        <f t="shared" si="4"/>
        <v>-1.1000000000005489E-3</v>
      </c>
      <c r="D123" s="11">
        <f t="shared" si="5"/>
        <v>0.99666000000000654</v>
      </c>
      <c r="E123" s="8">
        <v>12</v>
      </c>
      <c r="F123" s="17">
        <v>0.98434999999999995</v>
      </c>
      <c r="G123" s="10">
        <f t="shared" si="6"/>
        <v>-1.0999999999994387E-3</v>
      </c>
      <c r="H123" s="11">
        <f t="shared" si="7"/>
        <v>0.99754999999999316</v>
      </c>
    </row>
    <row r="124" spans="1:8" ht="13.8" thickBot="1">
      <c r="A124" s="13">
        <v>12.1</v>
      </c>
      <c r="B124" s="14">
        <v>0.98334999999999995</v>
      </c>
      <c r="C124" s="10">
        <f t="shared" si="4"/>
        <v>-1.0999999999994387E-3</v>
      </c>
      <c r="D124" s="11">
        <f t="shared" si="5"/>
        <v>0.99665999999999322</v>
      </c>
      <c r="E124" s="13">
        <v>12.1</v>
      </c>
      <c r="F124" s="14">
        <v>0.98424</v>
      </c>
      <c r="G124" s="10">
        <f t="shared" si="6"/>
        <v>-1.1000000000005489E-3</v>
      </c>
      <c r="H124" s="11">
        <f t="shared" si="7"/>
        <v>0.9975500000000066</v>
      </c>
    </row>
    <row r="125" spans="1:8" ht="13.8" thickBot="1">
      <c r="A125" s="13">
        <v>12.2</v>
      </c>
      <c r="B125" s="14">
        <v>0.98324</v>
      </c>
      <c r="C125" s="10">
        <f t="shared" si="4"/>
        <v>-1.1000000000005292E-3</v>
      </c>
      <c r="D125" s="11">
        <f t="shared" si="5"/>
        <v>0.99666000000000643</v>
      </c>
      <c r="E125" s="13">
        <v>12.2</v>
      </c>
      <c r="F125" s="14">
        <v>0.98412999999999995</v>
      </c>
      <c r="G125" s="10">
        <f t="shared" si="6"/>
        <v>-1.0999999999994192E-3</v>
      </c>
      <c r="H125" s="11">
        <f t="shared" si="7"/>
        <v>0.99754999999999294</v>
      </c>
    </row>
    <row r="126" spans="1:8" ht="13.8" thickBot="1">
      <c r="A126" s="13">
        <v>12.3</v>
      </c>
      <c r="B126" s="14">
        <v>0.98312999999999995</v>
      </c>
      <c r="C126" s="10">
        <f t="shared" si="4"/>
        <v>-1.0999999999994387E-3</v>
      </c>
      <c r="D126" s="11">
        <f t="shared" si="5"/>
        <v>0.996659999999993</v>
      </c>
      <c r="E126" s="13">
        <v>12.3</v>
      </c>
      <c r="F126" s="14">
        <v>0.98402000000000001</v>
      </c>
      <c r="G126" s="10">
        <f t="shared" si="6"/>
        <v>-1.1000000000005489E-3</v>
      </c>
      <c r="H126" s="11">
        <f t="shared" si="7"/>
        <v>0.99755000000000671</v>
      </c>
    </row>
    <row r="127" spans="1:8" ht="13.8" thickBot="1">
      <c r="A127" s="13">
        <v>12.4</v>
      </c>
      <c r="B127" s="14">
        <v>0.98302</v>
      </c>
      <c r="C127" s="10">
        <f t="shared" si="4"/>
        <v>-1.1000000000005489E-3</v>
      </c>
      <c r="D127" s="11">
        <f t="shared" si="5"/>
        <v>0.99666000000000676</v>
      </c>
      <c r="E127" s="13">
        <v>12.4</v>
      </c>
      <c r="F127" s="14">
        <v>0.98390999999999995</v>
      </c>
      <c r="G127" s="10">
        <f t="shared" si="6"/>
        <v>-1.0999999999994387E-3</v>
      </c>
      <c r="H127" s="11">
        <f t="shared" si="7"/>
        <v>0.99754999999999294</v>
      </c>
    </row>
    <row r="128" spans="1:8" ht="13.8" thickBot="1">
      <c r="A128" s="13">
        <v>12.5</v>
      </c>
      <c r="B128" s="14">
        <v>0.98290999999999995</v>
      </c>
      <c r="C128" s="10">
        <f t="shared" si="4"/>
        <v>-1.0999999999994387E-3</v>
      </c>
      <c r="D128" s="11">
        <f t="shared" si="5"/>
        <v>0.996659999999993</v>
      </c>
      <c r="E128" s="13">
        <v>12.5</v>
      </c>
      <c r="F128" s="14">
        <v>0.98380000000000001</v>
      </c>
      <c r="G128" s="10">
        <f t="shared" si="6"/>
        <v>-1.1000000000005489E-3</v>
      </c>
      <c r="H128" s="11">
        <f t="shared" si="7"/>
        <v>0.99755000000000682</v>
      </c>
    </row>
    <row r="129" spans="1:8" ht="13.8" thickBot="1">
      <c r="A129" s="13">
        <v>12.6</v>
      </c>
      <c r="B129" s="14">
        <v>0.98280000000000001</v>
      </c>
      <c r="C129" s="10">
        <f t="shared" si="4"/>
        <v>-1.1000000000005489E-3</v>
      </c>
      <c r="D129" s="11">
        <f t="shared" si="5"/>
        <v>0.99666000000000687</v>
      </c>
      <c r="E129" s="13">
        <v>12.6</v>
      </c>
      <c r="F129" s="14">
        <v>0.98368999999999995</v>
      </c>
      <c r="G129" s="10">
        <f t="shared" si="6"/>
        <v>-1.0999999999994387E-3</v>
      </c>
      <c r="H129" s="11">
        <f t="shared" si="7"/>
        <v>0.99754999999999294</v>
      </c>
    </row>
    <row r="130" spans="1:8" ht="13.8" thickBot="1">
      <c r="A130" s="13">
        <v>12.7</v>
      </c>
      <c r="B130" s="14">
        <v>0.98268999999999995</v>
      </c>
      <c r="C130" s="10">
        <f t="shared" si="4"/>
        <v>-1.0999999999994192E-3</v>
      </c>
      <c r="D130" s="11">
        <f t="shared" si="5"/>
        <v>0.99665999999999255</v>
      </c>
      <c r="E130" s="13">
        <v>12.7</v>
      </c>
      <c r="F130" s="14">
        <v>0.98358000000000001</v>
      </c>
      <c r="G130" s="10">
        <f t="shared" si="6"/>
        <v>-1.1000000000005292E-3</v>
      </c>
      <c r="H130" s="11">
        <f t="shared" si="7"/>
        <v>0.99755000000000671</v>
      </c>
    </row>
    <row r="131" spans="1:8" ht="13.8" thickBot="1">
      <c r="A131" s="13">
        <v>12.8</v>
      </c>
      <c r="B131" s="14">
        <v>0.98258000000000001</v>
      </c>
      <c r="C131" s="10">
        <f t="shared" si="4"/>
        <v>-1.1000000000005489E-3</v>
      </c>
      <c r="D131" s="11">
        <f t="shared" si="5"/>
        <v>0.99666000000000698</v>
      </c>
      <c r="E131" s="13">
        <v>12.8</v>
      </c>
      <c r="F131" s="14">
        <v>0.98346999999999996</v>
      </c>
      <c r="G131" s="10">
        <f t="shared" si="6"/>
        <v>-1.0999999999994387E-3</v>
      </c>
      <c r="H131" s="11">
        <f t="shared" si="7"/>
        <v>0.99754999999999272</v>
      </c>
    </row>
    <row r="132" spans="1:8" ht="13.8" thickBot="1">
      <c r="A132" s="13">
        <v>12.9</v>
      </c>
      <c r="B132" s="14">
        <v>0.98246999999999995</v>
      </c>
      <c r="C132" s="10">
        <f t="shared" ref="C132:C195" si="8">SLOPE(B132:B133,A132:A133)</f>
        <v>-1.0999999999994387E-3</v>
      </c>
      <c r="D132" s="11">
        <f t="shared" ref="D132:D195" si="9">INTERCEPT(B132:B133,A132:A133)</f>
        <v>0.99665999999999277</v>
      </c>
      <c r="E132" s="13">
        <v>12.9</v>
      </c>
      <c r="F132" s="14">
        <v>0.98336000000000001</v>
      </c>
      <c r="G132" s="10">
        <f t="shared" ref="G132:G195" si="10">SLOPE(F132:F133,E132:E133)</f>
        <v>-1.2000000000000942E-3</v>
      </c>
      <c r="H132" s="11">
        <f t="shared" ref="H132:H195" si="11">INTERCEPT(F132:F133,E132:E133)</f>
        <v>0.99884000000000128</v>
      </c>
    </row>
    <row r="133" spans="1:8" ht="13.8" thickBot="1">
      <c r="A133" s="8">
        <v>13</v>
      </c>
      <c r="B133" s="17">
        <v>0.98236000000000001</v>
      </c>
      <c r="C133" s="10">
        <f t="shared" si="8"/>
        <v>-1.1000000000005489E-3</v>
      </c>
      <c r="D133" s="11">
        <f t="shared" si="9"/>
        <v>0.9966600000000071</v>
      </c>
      <c r="E133" s="8">
        <v>13</v>
      </c>
      <c r="F133" s="17">
        <v>0.98324</v>
      </c>
      <c r="G133" s="10">
        <f t="shared" si="10"/>
        <v>-1.1000000000005489E-3</v>
      </c>
      <c r="H133" s="11">
        <f t="shared" si="11"/>
        <v>0.99754000000000709</v>
      </c>
    </row>
    <row r="134" spans="1:8" ht="13.8" thickBot="1">
      <c r="A134" s="13">
        <v>13.1</v>
      </c>
      <c r="B134" s="14">
        <v>0.98224999999999996</v>
      </c>
      <c r="C134" s="10">
        <f t="shared" si="8"/>
        <v>-9.9999999999989355E-4</v>
      </c>
      <c r="D134" s="11">
        <f t="shared" si="9"/>
        <v>0.99534999999999851</v>
      </c>
      <c r="E134" s="13">
        <v>13.1</v>
      </c>
      <c r="F134" s="14">
        <v>0.98312999999999995</v>
      </c>
      <c r="G134" s="10">
        <f t="shared" si="10"/>
        <v>-9.9999999999989355E-4</v>
      </c>
      <c r="H134" s="11">
        <f t="shared" si="11"/>
        <v>0.99622999999999851</v>
      </c>
    </row>
    <row r="135" spans="1:8" ht="13.8" thickBot="1">
      <c r="A135" s="13">
        <v>13.2</v>
      </c>
      <c r="B135" s="14">
        <v>0.98214999999999997</v>
      </c>
      <c r="C135" s="10">
        <f t="shared" si="8"/>
        <v>-1.0999999999994192E-3</v>
      </c>
      <c r="D135" s="11">
        <f t="shared" si="9"/>
        <v>0.99666999999999228</v>
      </c>
      <c r="E135" s="13">
        <v>13.2</v>
      </c>
      <c r="F135" s="14">
        <v>0.98302999999999996</v>
      </c>
      <c r="G135" s="10">
        <f t="shared" si="10"/>
        <v>-1.0999999999994192E-3</v>
      </c>
      <c r="H135" s="11">
        <f t="shared" si="11"/>
        <v>0.99754999999999228</v>
      </c>
    </row>
    <row r="136" spans="1:8" ht="13.8" thickBot="1">
      <c r="A136" s="13">
        <v>13.3</v>
      </c>
      <c r="B136" s="14">
        <v>0.98204000000000002</v>
      </c>
      <c r="C136" s="10">
        <f t="shared" si="8"/>
        <v>-1.1000000000005489E-3</v>
      </c>
      <c r="D136" s="11">
        <f t="shared" si="9"/>
        <v>0.99667000000000727</v>
      </c>
      <c r="E136" s="13">
        <v>13.3</v>
      </c>
      <c r="F136" s="14">
        <v>0.98292000000000002</v>
      </c>
      <c r="G136" s="10">
        <f t="shared" si="10"/>
        <v>-1.1000000000005489E-3</v>
      </c>
      <c r="H136" s="11">
        <f t="shared" si="11"/>
        <v>0.99755000000000726</v>
      </c>
    </row>
    <row r="137" spans="1:8" ht="13.8" thickBot="1">
      <c r="A137" s="13">
        <v>13.4</v>
      </c>
      <c r="B137" s="14">
        <v>0.98192999999999997</v>
      </c>
      <c r="C137" s="10">
        <f t="shared" si="8"/>
        <v>-1.0999999999994387E-3</v>
      </c>
      <c r="D137" s="11">
        <f t="shared" si="9"/>
        <v>0.99666999999999251</v>
      </c>
      <c r="E137" s="13">
        <v>13.4</v>
      </c>
      <c r="F137" s="14">
        <v>0.98280999999999996</v>
      </c>
      <c r="G137" s="10">
        <f t="shared" si="10"/>
        <v>-1.0999999999994387E-3</v>
      </c>
      <c r="H137" s="11">
        <f t="shared" si="11"/>
        <v>0.9975499999999925</v>
      </c>
    </row>
    <row r="138" spans="1:8" ht="13.8" thickBot="1">
      <c r="A138" s="13">
        <v>13.5</v>
      </c>
      <c r="B138" s="14">
        <v>0.98182000000000003</v>
      </c>
      <c r="C138" s="10">
        <f t="shared" si="8"/>
        <v>-9.9999999999989355E-4</v>
      </c>
      <c r="D138" s="11">
        <f t="shared" si="9"/>
        <v>0.99531999999999854</v>
      </c>
      <c r="E138" s="13">
        <v>13.5</v>
      </c>
      <c r="F138" s="14">
        <v>0.98270000000000002</v>
      </c>
      <c r="G138" s="10">
        <f t="shared" si="10"/>
        <v>-9.9999999999989355E-4</v>
      </c>
      <c r="H138" s="11">
        <f t="shared" si="11"/>
        <v>0.99619999999999853</v>
      </c>
    </row>
    <row r="139" spans="1:8" ht="13.8" thickBot="1">
      <c r="A139" s="13">
        <v>13.6</v>
      </c>
      <c r="B139" s="14">
        <v>0.98172000000000004</v>
      </c>
      <c r="C139" s="10">
        <f t="shared" si="8"/>
        <v>-1.1000000000005489E-3</v>
      </c>
      <c r="D139" s="11">
        <f t="shared" si="9"/>
        <v>0.99668000000000745</v>
      </c>
      <c r="E139" s="13">
        <v>13.6</v>
      </c>
      <c r="F139" s="14">
        <v>0.98260000000000003</v>
      </c>
      <c r="G139" s="10">
        <f t="shared" si="10"/>
        <v>-1.1000000000005489E-3</v>
      </c>
      <c r="H139" s="11">
        <f t="shared" si="11"/>
        <v>0.99756000000000744</v>
      </c>
    </row>
    <row r="140" spans="1:8" ht="13.8" thickBot="1">
      <c r="A140" s="13">
        <v>13.7</v>
      </c>
      <c r="B140" s="14">
        <v>0.98160999999999998</v>
      </c>
      <c r="C140" s="10">
        <f t="shared" si="8"/>
        <v>-1.0999999999994192E-3</v>
      </c>
      <c r="D140" s="11">
        <f t="shared" si="9"/>
        <v>0.99667999999999202</v>
      </c>
      <c r="E140" s="13">
        <v>13.7</v>
      </c>
      <c r="F140" s="14">
        <v>0.98248999999999997</v>
      </c>
      <c r="G140" s="10">
        <f t="shared" si="10"/>
        <v>-1.0999999999994192E-3</v>
      </c>
      <c r="H140" s="11">
        <f t="shared" si="11"/>
        <v>0.99755999999999201</v>
      </c>
    </row>
    <row r="141" spans="1:8" ht="13.8" thickBot="1">
      <c r="A141" s="13">
        <v>13.8</v>
      </c>
      <c r="B141" s="14">
        <v>0.98150000000000004</v>
      </c>
      <c r="C141" s="10">
        <f t="shared" si="8"/>
        <v>-9.9999999999989355E-4</v>
      </c>
      <c r="D141" s="11">
        <f t="shared" si="9"/>
        <v>0.99529999999999852</v>
      </c>
      <c r="E141" s="13">
        <v>13.8</v>
      </c>
      <c r="F141" s="14">
        <v>0.98238000000000003</v>
      </c>
      <c r="G141" s="10">
        <f t="shared" si="10"/>
        <v>-9.9999999999989355E-4</v>
      </c>
      <c r="H141" s="11">
        <f t="shared" si="11"/>
        <v>0.99617999999999851</v>
      </c>
    </row>
    <row r="142" spans="1:8" ht="13.8" thickBot="1">
      <c r="A142" s="13">
        <v>13.9</v>
      </c>
      <c r="B142" s="14">
        <v>0.98140000000000005</v>
      </c>
      <c r="C142" s="10">
        <f t="shared" si="8"/>
        <v>-1.1000000000005489E-3</v>
      </c>
      <c r="D142" s="11">
        <f t="shared" si="9"/>
        <v>0.99669000000000763</v>
      </c>
      <c r="E142" s="13">
        <v>13.9</v>
      </c>
      <c r="F142" s="14">
        <v>0.98228000000000004</v>
      </c>
      <c r="G142" s="10">
        <f t="shared" si="10"/>
        <v>-1.1000000000005489E-3</v>
      </c>
      <c r="H142" s="11">
        <f t="shared" si="11"/>
        <v>0.99757000000000762</v>
      </c>
    </row>
    <row r="143" spans="1:8" ht="13.8" thickBot="1">
      <c r="A143" s="8">
        <v>14</v>
      </c>
      <c r="B143" s="17">
        <v>0.98129</v>
      </c>
      <c r="C143" s="10">
        <f t="shared" si="8"/>
        <v>-1.0999999999994387E-3</v>
      </c>
      <c r="D143" s="11">
        <f t="shared" si="9"/>
        <v>0.99668999999999219</v>
      </c>
      <c r="E143" s="8">
        <v>14</v>
      </c>
      <c r="F143" s="17">
        <v>0.98216999999999999</v>
      </c>
      <c r="G143" s="10">
        <f t="shared" si="10"/>
        <v>-1.0999999999994387E-3</v>
      </c>
      <c r="H143" s="11">
        <f t="shared" si="11"/>
        <v>0.99756999999999219</v>
      </c>
    </row>
    <row r="144" spans="1:8" ht="13.8" thickBot="1">
      <c r="A144" s="13">
        <v>14.1</v>
      </c>
      <c r="B144" s="14">
        <v>0.98118000000000005</v>
      </c>
      <c r="C144" s="10">
        <f t="shared" si="8"/>
        <v>-1.0000000000010036E-3</v>
      </c>
      <c r="D144" s="11">
        <f t="shared" si="9"/>
        <v>0.99528000000001426</v>
      </c>
      <c r="E144" s="13">
        <v>14.1</v>
      </c>
      <c r="F144" s="14">
        <v>0.98206000000000004</v>
      </c>
      <c r="G144" s="10">
        <f t="shared" si="10"/>
        <v>-9.9999999999989355E-4</v>
      </c>
      <c r="H144" s="11">
        <f t="shared" si="11"/>
        <v>0.99615999999999849</v>
      </c>
    </row>
    <row r="145" spans="1:8" ht="13.8" thickBot="1">
      <c r="A145" s="13">
        <v>14.2</v>
      </c>
      <c r="B145" s="14">
        <v>0.98107999999999995</v>
      </c>
      <c r="C145" s="10">
        <f t="shared" si="8"/>
        <v>-1.0999999999994192E-3</v>
      </c>
      <c r="D145" s="11">
        <f t="shared" si="9"/>
        <v>0.9966999999999917</v>
      </c>
      <c r="E145" s="13">
        <v>14.2</v>
      </c>
      <c r="F145" s="14">
        <v>0.98196000000000006</v>
      </c>
      <c r="G145" s="10">
        <f t="shared" si="10"/>
        <v>-1.1000000000005292E-3</v>
      </c>
      <c r="H145" s="11">
        <f t="shared" si="11"/>
        <v>0.99758000000000757</v>
      </c>
    </row>
    <row r="146" spans="1:8" ht="13.8" thickBot="1">
      <c r="A146" s="13">
        <v>14.3</v>
      </c>
      <c r="B146" s="14">
        <v>0.98097000000000001</v>
      </c>
      <c r="C146" s="10">
        <f t="shared" si="8"/>
        <v>-1.1000000000005489E-3</v>
      </c>
      <c r="D146" s="11">
        <f t="shared" si="9"/>
        <v>0.99670000000000791</v>
      </c>
      <c r="E146" s="13">
        <v>14.3</v>
      </c>
      <c r="F146" s="14">
        <v>0.98185</v>
      </c>
      <c r="G146" s="10">
        <f t="shared" si="10"/>
        <v>-1.1000000000005489E-3</v>
      </c>
      <c r="H146" s="11">
        <f t="shared" si="11"/>
        <v>0.9975800000000079</v>
      </c>
    </row>
    <row r="147" spans="1:8" ht="13.8" thickBot="1">
      <c r="A147" s="13">
        <v>14.4</v>
      </c>
      <c r="B147" s="14">
        <v>0.98085999999999995</v>
      </c>
      <c r="C147" s="10">
        <f t="shared" si="8"/>
        <v>-9.9999999999989355E-4</v>
      </c>
      <c r="D147" s="11">
        <f t="shared" si="9"/>
        <v>0.99525999999999837</v>
      </c>
      <c r="E147" s="13">
        <v>14.4</v>
      </c>
      <c r="F147" s="14">
        <v>0.98173999999999995</v>
      </c>
      <c r="G147" s="10">
        <f t="shared" si="10"/>
        <v>-9.9999999999989355E-4</v>
      </c>
      <c r="H147" s="11">
        <f t="shared" si="11"/>
        <v>0.99613999999999836</v>
      </c>
    </row>
    <row r="148" spans="1:8" ht="13.8" thickBot="1">
      <c r="A148" s="13">
        <v>14.5</v>
      </c>
      <c r="B148" s="14">
        <v>0.98075999999999997</v>
      </c>
      <c r="C148" s="10">
        <f t="shared" si="8"/>
        <v>-1.0999999999994387E-3</v>
      </c>
      <c r="D148" s="11">
        <f t="shared" si="9"/>
        <v>0.99670999999999177</v>
      </c>
      <c r="E148" s="13">
        <v>14.5</v>
      </c>
      <c r="F148" s="14">
        <v>0.98163999999999996</v>
      </c>
      <c r="G148" s="10">
        <f t="shared" si="10"/>
        <v>-1.0999999999994387E-3</v>
      </c>
      <c r="H148" s="11">
        <f t="shared" si="11"/>
        <v>0.99758999999999176</v>
      </c>
    </row>
    <row r="149" spans="1:8" ht="13.8" thickBot="1">
      <c r="A149" s="13">
        <v>14.6</v>
      </c>
      <c r="B149" s="14">
        <v>0.98065000000000002</v>
      </c>
      <c r="C149" s="10">
        <f t="shared" si="8"/>
        <v>-9.9999999999989355E-4</v>
      </c>
      <c r="D149" s="11">
        <f t="shared" si="9"/>
        <v>0.99524999999999841</v>
      </c>
      <c r="E149" s="13">
        <v>14.6</v>
      </c>
      <c r="F149" s="14">
        <v>0.98153000000000001</v>
      </c>
      <c r="G149" s="10">
        <f t="shared" si="10"/>
        <v>-9.9999999999989355E-4</v>
      </c>
      <c r="H149" s="11">
        <f t="shared" si="11"/>
        <v>0.99612999999999841</v>
      </c>
    </row>
    <row r="150" spans="1:8" ht="13.8" thickBot="1">
      <c r="A150" s="13">
        <v>14.7</v>
      </c>
      <c r="B150" s="14">
        <v>0.98055000000000003</v>
      </c>
      <c r="C150" s="10">
        <f t="shared" si="8"/>
        <v>-1.1000000000005292E-3</v>
      </c>
      <c r="D150" s="11">
        <f t="shared" si="9"/>
        <v>0.99672000000000782</v>
      </c>
      <c r="E150" s="13">
        <v>14.7</v>
      </c>
      <c r="F150" s="14">
        <v>0.98143000000000002</v>
      </c>
      <c r="G150" s="10">
        <f t="shared" si="10"/>
        <v>-1.1000000000005292E-3</v>
      </c>
      <c r="H150" s="11">
        <f t="shared" si="11"/>
        <v>0.99760000000000781</v>
      </c>
    </row>
    <row r="151" spans="1:8" ht="13.8" thickBot="1">
      <c r="A151" s="13">
        <v>14.8</v>
      </c>
      <c r="B151" s="14">
        <v>0.98043999999999998</v>
      </c>
      <c r="C151" s="10">
        <f t="shared" si="8"/>
        <v>-9.9999999999989355E-4</v>
      </c>
      <c r="D151" s="11">
        <f t="shared" si="9"/>
        <v>0.99523999999999835</v>
      </c>
      <c r="E151" s="13">
        <v>14.8</v>
      </c>
      <c r="F151" s="14">
        <v>0.98131999999999997</v>
      </c>
      <c r="G151" s="10">
        <f t="shared" si="10"/>
        <v>-9.9999999999989355E-4</v>
      </c>
      <c r="H151" s="11">
        <f t="shared" si="11"/>
        <v>0.99611999999999834</v>
      </c>
    </row>
    <row r="152" spans="1:8" ht="13.8" thickBot="1">
      <c r="A152" s="13">
        <v>14.9</v>
      </c>
      <c r="B152" s="14">
        <v>0.98033999999999999</v>
      </c>
      <c r="C152" s="10">
        <f t="shared" si="8"/>
        <v>-9.9999999999989355E-4</v>
      </c>
      <c r="D152" s="11">
        <f t="shared" si="9"/>
        <v>0.99523999999999835</v>
      </c>
      <c r="E152" s="13">
        <v>14.9</v>
      </c>
      <c r="F152" s="14">
        <v>0.98121999999999998</v>
      </c>
      <c r="G152" s="10">
        <f t="shared" si="10"/>
        <v>-9.9999999999989355E-4</v>
      </c>
      <c r="H152" s="11">
        <f t="shared" si="11"/>
        <v>0.99611999999999834</v>
      </c>
    </row>
    <row r="153" spans="1:8" ht="13.8" thickBot="1">
      <c r="A153" s="8">
        <v>15</v>
      </c>
      <c r="B153" s="17">
        <v>0.98024</v>
      </c>
      <c r="C153" s="10">
        <f t="shared" si="8"/>
        <v>-1.1000000000005489E-3</v>
      </c>
      <c r="D153" s="11">
        <f t="shared" si="9"/>
        <v>0.99674000000000829</v>
      </c>
      <c r="E153" s="8">
        <v>15</v>
      </c>
      <c r="F153" s="17">
        <v>0.98111999999999999</v>
      </c>
      <c r="G153" s="10">
        <f t="shared" si="10"/>
        <v>-1.0999999999994387E-3</v>
      </c>
      <c r="H153" s="11">
        <f t="shared" si="11"/>
        <v>0.99761999999999162</v>
      </c>
    </row>
    <row r="154" spans="1:8" ht="13.8" thickBot="1">
      <c r="A154" s="13">
        <v>15.1</v>
      </c>
      <c r="B154" s="14">
        <v>0.98012999999999995</v>
      </c>
      <c r="C154" s="10">
        <f t="shared" si="8"/>
        <v>-9.9999999999989355E-4</v>
      </c>
      <c r="D154" s="11">
        <f t="shared" si="9"/>
        <v>0.99522999999999828</v>
      </c>
      <c r="E154" s="13">
        <v>15.1</v>
      </c>
      <c r="F154" s="14">
        <v>0.98101000000000005</v>
      </c>
      <c r="G154" s="10">
        <f t="shared" si="10"/>
        <v>-1.0000000000010036E-3</v>
      </c>
      <c r="H154" s="11">
        <f t="shared" si="11"/>
        <v>0.99611000000001526</v>
      </c>
    </row>
    <row r="155" spans="1:8" ht="13.8" thickBot="1">
      <c r="A155" s="13">
        <v>15.2</v>
      </c>
      <c r="B155" s="14">
        <v>0.98002999999999996</v>
      </c>
      <c r="C155" s="10">
        <f t="shared" si="8"/>
        <v>-1.0999999999994192E-3</v>
      </c>
      <c r="D155" s="11">
        <f t="shared" si="9"/>
        <v>0.99674999999999114</v>
      </c>
      <c r="E155" s="13">
        <v>15.2</v>
      </c>
      <c r="F155" s="14">
        <v>0.98090999999999995</v>
      </c>
      <c r="G155" s="10">
        <f t="shared" si="10"/>
        <v>-1.0999999999994192E-3</v>
      </c>
      <c r="H155" s="11">
        <f t="shared" si="11"/>
        <v>0.99762999999999113</v>
      </c>
    </row>
    <row r="156" spans="1:8" ht="13.8" thickBot="1">
      <c r="A156" s="13">
        <v>15.3</v>
      </c>
      <c r="B156" s="14">
        <v>0.97992000000000001</v>
      </c>
      <c r="C156" s="10">
        <f t="shared" si="8"/>
        <v>-9.9999999999989355E-4</v>
      </c>
      <c r="D156" s="11">
        <f t="shared" si="9"/>
        <v>0.99521999999999844</v>
      </c>
      <c r="E156" s="13">
        <v>15.3</v>
      </c>
      <c r="F156" s="14">
        <v>0.98080000000000001</v>
      </c>
      <c r="G156" s="10">
        <f t="shared" si="10"/>
        <v>-9.9999999999989355E-4</v>
      </c>
      <c r="H156" s="11">
        <f t="shared" si="11"/>
        <v>0.99609999999999843</v>
      </c>
    </row>
    <row r="157" spans="1:8" ht="13.8" thickBot="1">
      <c r="A157" s="13">
        <v>15.4</v>
      </c>
      <c r="B157" s="14">
        <v>0.97982000000000002</v>
      </c>
      <c r="C157" s="10">
        <f t="shared" si="8"/>
        <v>-1.1000000000005489E-3</v>
      </c>
      <c r="D157" s="11">
        <f t="shared" si="9"/>
        <v>0.99676000000000853</v>
      </c>
      <c r="E157" s="13">
        <v>15.4</v>
      </c>
      <c r="F157" s="14">
        <v>0.98070000000000002</v>
      </c>
      <c r="G157" s="10">
        <f t="shared" si="10"/>
        <v>-1.1000000000005489E-3</v>
      </c>
      <c r="H157" s="11">
        <f t="shared" si="11"/>
        <v>0.99764000000000852</v>
      </c>
    </row>
    <row r="158" spans="1:8" ht="13.8" thickBot="1">
      <c r="A158" s="13">
        <v>15.5</v>
      </c>
      <c r="B158" s="14">
        <v>0.97970999999999997</v>
      </c>
      <c r="C158" s="10">
        <f t="shared" si="8"/>
        <v>-9.9999999999989355E-4</v>
      </c>
      <c r="D158" s="11">
        <f t="shared" si="9"/>
        <v>0.99520999999999837</v>
      </c>
      <c r="E158" s="13">
        <v>15.5</v>
      </c>
      <c r="F158" s="14">
        <v>0.98058999999999996</v>
      </c>
      <c r="G158" s="10">
        <f t="shared" si="10"/>
        <v>-9.9999999999989355E-4</v>
      </c>
      <c r="H158" s="11">
        <f t="shared" si="11"/>
        <v>0.99608999999999837</v>
      </c>
    </row>
    <row r="159" spans="1:8" ht="13.8" thickBot="1">
      <c r="A159" s="13">
        <v>15.6</v>
      </c>
      <c r="B159" s="14">
        <v>0.97960999999999998</v>
      </c>
      <c r="C159" s="10">
        <f t="shared" si="8"/>
        <v>-9.9999999999989355E-4</v>
      </c>
      <c r="D159" s="11">
        <f t="shared" si="9"/>
        <v>0.99520999999999837</v>
      </c>
      <c r="E159" s="13">
        <v>15.6</v>
      </c>
      <c r="F159" s="14">
        <v>0.98048999999999997</v>
      </c>
      <c r="G159" s="10">
        <f t="shared" si="10"/>
        <v>-9.9999999999989355E-4</v>
      </c>
      <c r="H159" s="11">
        <f t="shared" si="11"/>
        <v>0.99608999999999837</v>
      </c>
    </row>
    <row r="160" spans="1:8" ht="13.8" thickBot="1">
      <c r="A160" s="13">
        <v>15.7</v>
      </c>
      <c r="B160" s="14">
        <v>0.97950999999999999</v>
      </c>
      <c r="C160" s="10">
        <f t="shared" si="8"/>
        <v>-1.0999999999994192E-3</v>
      </c>
      <c r="D160" s="11">
        <f t="shared" si="9"/>
        <v>0.99677999999999078</v>
      </c>
      <c r="E160" s="13">
        <v>15.7</v>
      </c>
      <c r="F160" s="14">
        <v>0.98038999999999998</v>
      </c>
      <c r="G160" s="10">
        <f t="shared" si="10"/>
        <v>-1.0999999999994192E-3</v>
      </c>
      <c r="H160" s="11">
        <f t="shared" si="11"/>
        <v>0.99765999999999078</v>
      </c>
    </row>
    <row r="161" spans="1:8" ht="13.8" thickBot="1">
      <c r="A161" s="13">
        <v>15.8</v>
      </c>
      <c r="B161" s="14">
        <v>0.97940000000000005</v>
      </c>
      <c r="C161" s="10">
        <f t="shared" si="8"/>
        <v>-1.0000000000010036E-3</v>
      </c>
      <c r="D161" s="11">
        <f t="shared" si="9"/>
        <v>0.99520000000001585</v>
      </c>
      <c r="E161" s="13">
        <v>15.8</v>
      </c>
      <c r="F161" s="14">
        <v>0.98028000000000004</v>
      </c>
      <c r="G161" s="10">
        <f t="shared" si="10"/>
        <v>-9.9999999999989355E-4</v>
      </c>
      <c r="H161" s="11">
        <f t="shared" si="11"/>
        <v>0.99607999999999841</v>
      </c>
    </row>
    <row r="162" spans="1:8" ht="13.8" thickBot="1">
      <c r="A162" s="13">
        <v>15.9</v>
      </c>
      <c r="B162" s="14">
        <v>0.97929999999999995</v>
      </c>
      <c r="C162" s="10">
        <f t="shared" si="8"/>
        <v>-9.9999999999989355E-4</v>
      </c>
      <c r="D162" s="11">
        <f t="shared" si="9"/>
        <v>0.99519999999999831</v>
      </c>
      <c r="E162" s="13">
        <v>15.9</v>
      </c>
      <c r="F162" s="14">
        <v>0.98018000000000005</v>
      </c>
      <c r="G162" s="10">
        <f t="shared" si="10"/>
        <v>-1.0000000000010036E-3</v>
      </c>
      <c r="H162" s="11">
        <f t="shared" si="11"/>
        <v>0.99608000000001595</v>
      </c>
    </row>
    <row r="163" spans="1:8" ht="13.8" thickBot="1">
      <c r="A163" s="8">
        <v>16</v>
      </c>
      <c r="B163" s="17">
        <v>0.97919999999999996</v>
      </c>
      <c r="C163" s="10">
        <f t="shared" si="8"/>
        <v>-9.9999999999987555E-4</v>
      </c>
      <c r="D163" s="11">
        <f t="shared" si="9"/>
        <v>0.99519999999999798</v>
      </c>
      <c r="E163" s="8">
        <v>16</v>
      </c>
      <c r="F163" s="17">
        <v>0.98007999999999995</v>
      </c>
      <c r="G163" s="10">
        <f t="shared" si="10"/>
        <v>-9.9999999999987555E-4</v>
      </c>
      <c r="H163" s="11">
        <f t="shared" si="11"/>
        <v>0.99607999999999797</v>
      </c>
    </row>
    <row r="164" spans="1:8" ht="13.8" thickBot="1">
      <c r="A164" s="13">
        <v>16.100000000000001</v>
      </c>
      <c r="B164" s="14">
        <v>0.97909999999999997</v>
      </c>
      <c r="C164" s="10">
        <f t="shared" si="8"/>
        <v>-1.099999999999458E-3</v>
      </c>
      <c r="D164" s="11">
        <f t="shared" si="9"/>
        <v>0.9968099999999912</v>
      </c>
      <c r="E164" s="13">
        <v>16.100000000000001</v>
      </c>
      <c r="F164" s="14">
        <v>0.97997999999999996</v>
      </c>
      <c r="G164" s="10">
        <f t="shared" si="10"/>
        <v>-1.099999999999458E-3</v>
      </c>
      <c r="H164" s="11">
        <f t="shared" si="11"/>
        <v>0.99768999999999119</v>
      </c>
    </row>
    <row r="165" spans="1:8" ht="13.8" thickBot="1">
      <c r="A165" s="13">
        <v>16.2</v>
      </c>
      <c r="B165" s="14">
        <v>0.97899000000000003</v>
      </c>
      <c r="C165" s="10">
        <f t="shared" si="8"/>
        <v>-9.9999999999987555E-4</v>
      </c>
      <c r="D165" s="11">
        <f t="shared" si="9"/>
        <v>0.99518999999999802</v>
      </c>
      <c r="E165" s="13">
        <v>16.2</v>
      </c>
      <c r="F165" s="14">
        <v>0.97987000000000002</v>
      </c>
      <c r="G165" s="10">
        <f t="shared" si="10"/>
        <v>-9.9999999999987555E-4</v>
      </c>
      <c r="H165" s="11">
        <f t="shared" si="11"/>
        <v>0.99606999999999801</v>
      </c>
    </row>
    <row r="166" spans="1:8" ht="13.8" thickBot="1">
      <c r="A166" s="13">
        <v>16.3</v>
      </c>
      <c r="B166" s="14">
        <v>0.97889000000000004</v>
      </c>
      <c r="C166" s="10">
        <f t="shared" si="8"/>
        <v>-9.999999999999109E-4</v>
      </c>
      <c r="D166" s="11">
        <f t="shared" si="9"/>
        <v>0.99518999999999858</v>
      </c>
      <c r="E166" s="13">
        <v>16.3</v>
      </c>
      <c r="F166" s="14">
        <v>0.97977000000000003</v>
      </c>
      <c r="G166" s="10">
        <f t="shared" si="10"/>
        <v>-9.999999999999109E-4</v>
      </c>
      <c r="H166" s="11">
        <f t="shared" si="11"/>
        <v>0.99606999999999857</v>
      </c>
    </row>
    <row r="167" spans="1:8" ht="13.8" thickBot="1">
      <c r="A167" s="13">
        <v>16.399999999999999</v>
      </c>
      <c r="B167" s="14">
        <v>0.97879000000000005</v>
      </c>
      <c r="C167" s="10">
        <f t="shared" si="8"/>
        <v>-1.0000000000009858E-3</v>
      </c>
      <c r="D167" s="11">
        <f t="shared" si="9"/>
        <v>0.99519000000001612</v>
      </c>
      <c r="E167" s="13">
        <v>16.399999999999999</v>
      </c>
      <c r="F167" s="14">
        <v>0.97967000000000004</v>
      </c>
      <c r="G167" s="10">
        <f t="shared" si="10"/>
        <v>-9.9999999999987555E-4</v>
      </c>
      <c r="H167" s="11">
        <f t="shared" si="11"/>
        <v>0.99606999999999801</v>
      </c>
    </row>
    <row r="168" spans="1:8" ht="13.8" thickBot="1">
      <c r="A168" s="13">
        <v>16.5</v>
      </c>
      <c r="B168" s="14">
        <v>0.97868999999999995</v>
      </c>
      <c r="C168" s="10">
        <f t="shared" si="8"/>
        <v>-1.0999999999994192E-3</v>
      </c>
      <c r="D168" s="11">
        <f t="shared" si="9"/>
        <v>0.99683999999999029</v>
      </c>
      <c r="E168" s="13">
        <v>16.5</v>
      </c>
      <c r="F168" s="14">
        <v>0.97957000000000005</v>
      </c>
      <c r="G168" s="10">
        <f t="shared" si="10"/>
        <v>-1.1000000000005292E-3</v>
      </c>
      <c r="H168" s="11">
        <f t="shared" si="11"/>
        <v>0.99772000000000882</v>
      </c>
    </row>
    <row r="169" spans="1:8" ht="13.8" thickBot="1">
      <c r="A169" s="13">
        <v>16.600000000000001</v>
      </c>
      <c r="B169" s="14">
        <v>0.97858000000000001</v>
      </c>
      <c r="C169" s="10">
        <f t="shared" si="8"/>
        <v>-9.999999999999109E-4</v>
      </c>
      <c r="D169" s="11">
        <f t="shared" si="9"/>
        <v>0.99517999999999851</v>
      </c>
      <c r="E169" s="13">
        <v>16.600000000000001</v>
      </c>
      <c r="F169" s="14">
        <v>0.97946</v>
      </c>
      <c r="G169" s="10">
        <f t="shared" si="10"/>
        <v>-9.999999999999109E-4</v>
      </c>
      <c r="H169" s="11">
        <f t="shared" si="11"/>
        <v>0.9960599999999985</v>
      </c>
    </row>
    <row r="170" spans="1:8" ht="13.8" thickBot="1">
      <c r="A170" s="13">
        <v>16.7</v>
      </c>
      <c r="B170" s="14">
        <v>0.97848000000000002</v>
      </c>
      <c r="C170" s="10">
        <f t="shared" si="8"/>
        <v>-9.9999999999987555E-4</v>
      </c>
      <c r="D170" s="11">
        <f t="shared" si="9"/>
        <v>0.99517999999999796</v>
      </c>
      <c r="E170" s="13">
        <v>16.7</v>
      </c>
      <c r="F170" s="14">
        <v>0.97936000000000001</v>
      </c>
      <c r="G170" s="10">
        <f t="shared" si="10"/>
        <v>-9.9999999999987555E-4</v>
      </c>
      <c r="H170" s="11">
        <f t="shared" si="11"/>
        <v>0.99605999999999795</v>
      </c>
    </row>
    <row r="171" spans="1:8" ht="13.8" thickBot="1">
      <c r="A171" s="13">
        <v>16.8</v>
      </c>
      <c r="B171" s="14">
        <v>0.97838000000000003</v>
      </c>
      <c r="C171" s="10">
        <f t="shared" si="8"/>
        <v>-9.999999999999109E-4</v>
      </c>
      <c r="D171" s="11">
        <f t="shared" si="9"/>
        <v>0.99517999999999851</v>
      </c>
      <c r="E171" s="13">
        <v>16.8</v>
      </c>
      <c r="F171" s="14">
        <v>0.97926000000000002</v>
      </c>
      <c r="G171" s="10">
        <f t="shared" si="10"/>
        <v>-9.999999999999109E-4</v>
      </c>
      <c r="H171" s="11">
        <f t="shared" si="11"/>
        <v>0.9960599999999985</v>
      </c>
    </row>
    <row r="172" spans="1:8" ht="13.8" thickBot="1">
      <c r="A172" s="13">
        <v>16.899999999999999</v>
      </c>
      <c r="B172" s="14">
        <v>0.97828000000000004</v>
      </c>
      <c r="C172" s="10">
        <f t="shared" si="8"/>
        <v>-9.9999999999987555E-4</v>
      </c>
      <c r="D172" s="11">
        <f t="shared" si="9"/>
        <v>0.99517999999999796</v>
      </c>
      <c r="E172" s="13">
        <v>16.899999999999999</v>
      </c>
      <c r="F172" s="14">
        <v>0.97916000000000003</v>
      </c>
      <c r="G172" s="10">
        <f t="shared" si="10"/>
        <v>-9.9999999999987555E-4</v>
      </c>
      <c r="H172" s="11">
        <f t="shared" si="11"/>
        <v>0.99605999999999795</v>
      </c>
    </row>
    <row r="173" spans="1:8" ht="13.8" thickBot="1">
      <c r="A173" s="8">
        <v>17</v>
      </c>
      <c r="B173" s="17">
        <v>0.97818000000000005</v>
      </c>
      <c r="C173" s="10">
        <f t="shared" si="8"/>
        <v>-1.0000000000009858E-3</v>
      </c>
      <c r="D173" s="11">
        <f t="shared" si="9"/>
        <v>0.99518000000001672</v>
      </c>
      <c r="E173" s="8">
        <v>17</v>
      </c>
      <c r="F173" s="17">
        <v>0.97906000000000004</v>
      </c>
      <c r="G173" s="10">
        <f t="shared" si="10"/>
        <v>-9.9999999999987555E-4</v>
      </c>
      <c r="H173" s="11">
        <f t="shared" si="11"/>
        <v>0.99605999999999795</v>
      </c>
    </row>
    <row r="174" spans="1:8" ht="13.8" thickBot="1">
      <c r="A174" s="13">
        <v>17.100000000000001</v>
      </c>
      <c r="B174" s="14">
        <v>0.97807999999999995</v>
      </c>
      <c r="C174" s="10">
        <f t="shared" si="8"/>
        <v>-1.099999999999458E-3</v>
      </c>
      <c r="D174" s="11">
        <f t="shared" si="9"/>
        <v>0.99688999999999062</v>
      </c>
      <c r="E174" s="13">
        <v>17.100000000000001</v>
      </c>
      <c r="F174" s="14">
        <v>0.97896000000000005</v>
      </c>
      <c r="G174" s="10">
        <f t="shared" si="10"/>
        <v>-1.1000000000005682E-3</v>
      </c>
      <c r="H174" s="11">
        <f t="shared" si="11"/>
        <v>0.99777000000000982</v>
      </c>
    </row>
    <row r="175" spans="1:8" ht="13.8" thickBot="1">
      <c r="A175" s="13">
        <v>17.2</v>
      </c>
      <c r="B175" s="14">
        <v>0.97797000000000001</v>
      </c>
      <c r="C175" s="10">
        <f t="shared" si="8"/>
        <v>-9.9999999999987555E-4</v>
      </c>
      <c r="D175" s="11">
        <f t="shared" si="9"/>
        <v>0.99516999999999789</v>
      </c>
      <c r="E175" s="13">
        <v>17.2</v>
      </c>
      <c r="F175" s="14">
        <v>0.97885</v>
      </c>
      <c r="G175" s="10">
        <f t="shared" si="10"/>
        <v>-9.9999999999987555E-4</v>
      </c>
      <c r="H175" s="11">
        <f t="shared" si="11"/>
        <v>0.99604999999999788</v>
      </c>
    </row>
    <row r="176" spans="1:8" ht="13.8" thickBot="1">
      <c r="A176" s="13">
        <v>17.3</v>
      </c>
      <c r="B176" s="14">
        <v>0.97787000000000002</v>
      </c>
      <c r="C176" s="10">
        <f t="shared" si="8"/>
        <v>-9.999999999999109E-4</v>
      </c>
      <c r="D176" s="11">
        <f t="shared" si="9"/>
        <v>0.99516999999999844</v>
      </c>
      <c r="E176" s="13">
        <v>17.3</v>
      </c>
      <c r="F176" s="14">
        <v>0.97875000000000001</v>
      </c>
      <c r="G176" s="10">
        <f t="shared" si="10"/>
        <v>-9.999999999999109E-4</v>
      </c>
      <c r="H176" s="11">
        <f t="shared" si="11"/>
        <v>0.99604999999999844</v>
      </c>
    </row>
    <row r="177" spans="1:8" ht="13.8" thickBot="1">
      <c r="A177" s="13">
        <v>17.399999999999999</v>
      </c>
      <c r="B177" s="14">
        <v>0.97777000000000003</v>
      </c>
      <c r="C177" s="10">
        <f t="shared" si="8"/>
        <v>-9.9999999999987555E-4</v>
      </c>
      <c r="D177" s="11">
        <f t="shared" si="9"/>
        <v>0.99516999999999789</v>
      </c>
      <c r="E177" s="13">
        <v>17.399999999999999</v>
      </c>
      <c r="F177" s="14">
        <v>0.97865000000000002</v>
      </c>
      <c r="G177" s="10">
        <f t="shared" si="10"/>
        <v>-9.9999999999987555E-4</v>
      </c>
      <c r="H177" s="11">
        <f t="shared" si="11"/>
        <v>0.99604999999999788</v>
      </c>
    </row>
    <row r="178" spans="1:8" ht="13.8" thickBot="1">
      <c r="A178" s="13">
        <v>17.5</v>
      </c>
      <c r="B178" s="14">
        <v>0.97767000000000004</v>
      </c>
      <c r="C178" s="10">
        <f t="shared" si="8"/>
        <v>-9.9999999999987555E-4</v>
      </c>
      <c r="D178" s="11">
        <f t="shared" si="9"/>
        <v>0.99516999999999789</v>
      </c>
      <c r="E178" s="13">
        <v>17.5</v>
      </c>
      <c r="F178" s="14">
        <v>0.97855000000000003</v>
      </c>
      <c r="G178" s="10">
        <f t="shared" si="10"/>
        <v>-9.9999999999987555E-4</v>
      </c>
      <c r="H178" s="11">
        <f t="shared" si="11"/>
        <v>0.99604999999999788</v>
      </c>
    </row>
    <row r="179" spans="1:8" ht="13.8" thickBot="1">
      <c r="A179" s="13">
        <v>17.600000000000001</v>
      </c>
      <c r="B179" s="14">
        <v>0.97757000000000005</v>
      </c>
      <c r="C179" s="10">
        <f t="shared" si="8"/>
        <v>-1.0000000000010211E-3</v>
      </c>
      <c r="D179" s="11">
        <f t="shared" si="9"/>
        <v>0.99517000000001798</v>
      </c>
      <c r="E179" s="13">
        <v>17.600000000000001</v>
      </c>
      <c r="F179" s="14">
        <v>0.97845000000000004</v>
      </c>
      <c r="G179" s="10">
        <f t="shared" si="10"/>
        <v>-9.999999999999109E-4</v>
      </c>
      <c r="H179" s="11">
        <f t="shared" si="11"/>
        <v>0.99604999999999844</v>
      </c>
    </row>
    <row r="180" spans="1:8" ht="13.8" thickBot="1">
      <c r="A180" s="13">
        <v>17.7</v>
      </c>
      <c r="B180" s="14">
        <v>0.97746999999999995</v>
      </c>
      <c r="C180" s="10">
        <f t="shared" si="8"/>
        <v>-9.9999999999987555E-4</v>
      </c>
      <c r="D180" s="11">
        <f t="shared" si="9"/>
        <v>0.99516999999999778</v>
      </c>
      <c r="E180" s="13">
        <v>17.7</v>
      </c>
      <c r="F180" s="14">
        <v>0.97835000000000005</v>
      </c>
      <c r="G180" s="10">
        <f t="shared" si="10"/>
        <v>-1.0000000000009858E-3</v>
      </c>
      <c r="H180" s="11">
        <f t="shared" si="11"/>
        <v>0.99605000000001742</v>
      </c>
    </row>
    <row r="181" spans="1:8" ht="13.8" thickBot="1">
      <c r="A181" s="13">
        <v>17.8</v>
      </c>
      <c r="B181" s="14">
        <v>0.97736999999999996</v>
      </c>
      <c r="C181" s="10">
        <f t="shared" si="8"/>
        <v>-9.999999999999109E-4</v>
      </c>
      <c r="D181" s="11">
        <f t="shared" si="9"/>
        <v>0.99516999999999833</v>
      </c>
      <c r="E181" s="13">
        <v>17.8</v>
      </c>
      <c r="F181" s="14">
        <v>0.97824999999999995</v>
      </c>
      <c r="G181" s="10">
        <f t="shared" si="10"/>
        <v>-9.999999999999109E-4</v>
      </c>
      <c r="H181" s="11">
        <f t="shared" si="11"/>
        <v>0.99604999999999833</v>
      </c>
    </row>
    <row r="182" spans="1:8" ht="13.8" thickBot="1">
      <c r="A182" s="13">
        <v>17.899999999999999</v>
      </c>
      <c r="B182" s="14">
        <v>0.97726999999999997</v>
      </c>
      <c r="C182" s="10">
        <f t="shared" si="8"/>
        <v>-9.9999999999987555E-4</v>
      </c>
      <c r="D182" s="11">
        <f t="shared" si="9"/>
        <v>0.99516999999999778</v>
      </c>
      <c r="E182" s="13">
        <v>17.899999999999999</v>
      </c>
      <c r="F182" s="14">
        <v>0.97814999999999996</v>
      </c>
      <c r="G182" s="10">
        <f t="shared" si="10"/>
        <v>-9.9999999999987555E-4</v>
      </c>
      <c r="H182" s="11">
        <f t="shared" si="11"/>
        <v>0.99604999999999777</v>
      </c>
    </row>
    <row r="183" spans="1:8" ht="13.8" thickBot="1">
      <c r="A183" s="8">
        <v>18</v>
      </c>
      <c r="B183" s="17">
        <v>0.97716999999999998</v>
      </c>
      <c r="C183" s="10">
        <f t="shared" si="8"/>
        <v>-9.9999999999987555E-4</v>
      </c>
      <c r="D183" s="11">
        <f t="shared" si="9"/>
        <v>0.99516999999999778</v>
      </c>
      <c r="E183" s="8">
        <v>18</v>
      </c>
      <c r="F183" s="17">
        <v>0.97804999999999997</v>
      </c>
      <c r="G183" s="10">
        <f t="shared" si="10"/>
        <v>-9.9999999999987555E-4</v>
      </c>
      <c r="H183" s="11">
        <f t="shared" si="11"/>
        <v>0.99604999999999777</v>
      </c>
    </row>
    <row r="184" spans="1:8" ht="13.8" thickBot="1">
      <c r="A184" s="13">
        <v>18.100000000000001</v>
      </c>
      <c r="B184" s="14">
        <v>0.97706999999999999</v>
      </c>
      <c r="C184" s="10">
        <f t="shared" si="8"/>
        <v>-9.999999999999109E-4</v>
      </c>
      <c r="D184" s="11">
        <f t="shared" si="9"/>
        <v>0.99516999999999833</v>
      </c>
      <c r="E184" s="13">
        <v>18.100000000000001</v>
      </c>
      <c r="F184" s="14">
        <v>0.97794999999999999</v>
      </c>
      <c r="G184" s="10">
        <f t="shared" si="10"/>
        <v>-9.999999999999109E-4</v>
      </c>
      <c r="H184" s="11">
        <f t="shared" si="11"/>
        <v>0.99604999999999833</v>
      </c>
    </row>
    <row r="185" spans="1:8" ht="13.8" thickBot="1">
      <c r="A185" s="13">
        <v>18.2</v>
      </c>
      <c r="B185" s="14">
        <v>0.97697000000000001</v>
      </c>
      <c r="C185" s="10">
        <f t="shared" si="8"/>
        <v>-1.1000000000005292E-3</v>
      </c>
      <c r="D185" s="11">
        <f t="shared" si="9"/>
        <v>0.99699000000000959</v>
      </c>
      <c r="E185" s="13">
        <v>18.2</v>
      </c>
      <c r="F185" s="14">
        <v>0.97785</v>
      </c>
      <c r="G185" s="10">
        <f t="shared" si="10"/>
        <v>-1.0999999999994192E-3</v>
      </c>
      <c r="H185" s="11">
        <f t="shared" si="11"/>
        <v>0.99786999999998938</v>
      </c>
    </row>
    <row r="186" spans="1:8" ht="13.8" thickBot="1">
      <c r="A186" s="13">
        <v>18.3</v>
      </c>
      <c r="B186" s="14">
        <v>0.97685999999999995</v>
      </c>
      <c r="C186" s="10">
        <f t="shared" si="8"/>
        <v>-9.999999999999109E-4</v>
      </c>
      <c r="D186" s="11">
        <f t="shared" si="9"/>
        <v>0.99515999999999827</v>
      </c>
      <c r="E186" s="13">
        <v>18.3</v>
      </c>
      <c r="F186" s="14">
        <v>0.97774000000000005</v>
      </c>
      <c r="G186" s="10">
        <f t="shared" si="10"/>
        <v>-1.0000000000010211E-3</v>
      </c>
      <c r="H186" s="11">
        <f t="shared" si="11"/>
        <v>0.99604000000001869</v>
      </c>
    </row>
    <row r="187" spans="1:8" ht="13.8" thickBot="1">
      <c r="A187" s="13">
        <v>18.399999999999999</v>
      </c>
      <c r="B187" s="14">
        <v>0.97675999999999996</v>
      </c>
      <c r="C187" s="10">
        <f t="shared" si="8"/>
        <v>-9.9999999999987555E-4</v>
      </c>
      <c r="D187" s="11">
        <f t="shared" si="9"/>
        <v>0.99515999999999771</v>
      </c>
      <c r="E187" s="13">
        <v>18.399999999999999</v>
      </c>
      <c r="F187" s="14">
        <v>0.97763999999999995</v>
      </c>
      <c r="G187" s="10">
        <f t="shared" si="10"/>
        <v>-9.9999999999987555E-4</v>
      </c>
      <c r="H187" s="11">
        <f t="shared" si="11"/>
        <v>0.9960399999999977</v>
      </c>
    </row>
    <row r="188" spans="1:8" ht="13.8" thickBot="1">
      <c r="A188" s="13">
        <v>18.5</v>
      </c>
      <c r="B188" s="14">
        <v>0.97665999999999997</v>
      </c>
      <c r="C188" s="10">
        <f t="shared" si="8"/>
        <v>-9.9999999999987555E-4</v>
      </c>
      <c r="D188" s="11">
        <f t="shared" si="9"/>
        <v>0.99515999999999771</v>
      </c>
      <c r="E188" s="13">
        <v>18.5</v>
      </c>
      <c r="F188" s="14">
        <v>0.97753999999999996</v>
      </c>
      <c r="G188" s="10">
        <f t="shared" si="10"/>
        <v>-9.9999999999987555E-4</v>
      </c>
      <c r="H188" s="11">
        <f t="shared" si="11"/>
        <v>0.9960399999999977</v>
      </c>
    </row>
    <row r="189" spans="1:8" ht="13.8" thickBot="1">
      <c r="A189" s="13">
        <v>18.600000000000001</v>
      </c>
      <c r="B189" s="14">
        <v>0.97655999999999998</v>
      </c>
      <c r="C189" s="10">
        <f t="shared" si="8"/>
        <v>-9.999999999999109E-4</v>
      </c>
      <c r="D189" s="11">
        <f t="shared" si="9"/>
        <v>0.99515999999999838</v>
      </c>
      <c r="E189" s="13">
        <v>18.600000000000001</v>
      </c>
      <c r="F189" s="14">
        <v>0.97743999999999998</v>
      </c>
      <c r="G189" s="10">
        <f t="shared" si="10"/>
        <v>-9.999999999999109E-4</v>
      </c>
      <c r="H189" s="11">
        <f t="shared" si="11"/>
        <v>0.99603999999999837</v>
      </c>
    </row>
    <row r="190" spans="1:8" ht="13.8" thickBot="1">
      <c r="A190" s="13">
        <v>18.7</v>
      </c>
      <c r="B190" s="14">
        <v>0.97645999999999999</v>
      </c>
      <c r="C190" s="10">
        <f t="shared" si="8"/>
        <v>-9.9999999999987555E-4</v>
      </c>
      <c r="D190" s="11">
        <f t="shared" si="9"/>
        <v>0.99515999999999771</v>
      </c>
      <c r="E190" s="13">
        <v>18.7</v>
      </c>
      <c r="F190" s="14">
        <v>0.97733999999999999</v>
      </c>
      <c r="G190" s="10">
        <f t="shared" si="10"/>
        <v>-9.9999999999987555E-4</v>
      </c>
      <c r="H190" s="11">
        <f t="shared" si="11"/>
        <v>0.9960399999999977</v>
      </c>
    </row>
    <row r="191" spans="1:8" ht="13.8" thickBot="1">
      <c r="A191" s="13">
        <v>18.8</v>
      </c>
      <c r="B191" s="14">
        <v>0.97636000000000001</v>
      </c>
      <c r="C191" s="10">
        <f t="shared" si="8"/>
        <v>-9.999999999999109E-4</v>
      </c>
      <c r="D191" s="11">
        <f t="shared" si="9"/>
        <v>0.99515999999999838</v>
      </c>
      <c r="E191" s="13">
        <v>18.8</v>
      </c>
      <c r="F191" s="14">
        <v>0.97724</v>
      </c>
      <c r="G191" s="10">
        <f t="shared" si="10"/>
        <v>-9.999999999999109E-4</v>
      </c>
      <c r="H191" s="11">
        <f t="shared" si="11"/>
        <v>0.99603999999999837</v>
      </c>
    </row>
    <row r="192" spans="1:8" ht="13.8" thickBot="1">
      <c r="A192" s="13">
        <v>18.899999999999999</v>
      </c>
      <c r="B192" s="14">
        <v>0.97626000000000002</v>
      </c>
      <c r="C192" s="10">
        <f t="shared" si="8"/>
        <v>-9.9999999999987555E-4</v>
      </c>
      <c r="D192" s="11">
        <f t="shared" si="9"/>
        <v>0.99515999999999771</v>
      </c>
      <c r="E192" s="13">
        <v>18.899999999999999</v>
      </c>
      <c r="F192" s="14">
        <v>0.97714000000000001</v>
      </c>
      <c r="G192" s="10">
        <f t="shared" si="10"/>
        <v>-9.9999999999987555E-4</v>
      </c>
      <c r="H192" s="11">
        <f t="shared" si="11"/>
        <v>0.9960399999999977</v>
      </c>
    </row>
    <row r="193" spans="1:8" ht="13.8" thickBot="1">
      <c r="A193" s="8">
        <v>19</v>
      </c>
      <c r="B193" s="17">
        <v>0.97616000000000003</v>
      </c>
      <c r="C193" s="10">
        <f t="shared" si="8"/>
        <v>-9.9999999999987555E-4</v>
      </c>
      <c r="D193" s="11">
        <f t="shared" si="9"/>
        <v>0.99515999999999771</v>
      </c>
      <c r="E193" s="8">
        <v>19</v>
      </c>
      <c r="F193" s="17">
        <v>0.97704000000000002</v>
      </c>
      <c r="G193" s="10">
        <f t="shared" si="10"/>
        <v>-9.9999999999987555E-4</v>
      </c>
      <c r="H193" s="11">
        <f t="shared" si="11"/>
        <v>0.9960399999999977</v>
      </c>
    </row>
    <row r="194" spans="1:8" ht="13.8" thickBot="1">
      <c r="A194" s="13">
        <v>19.100000000000001</v>
      </c>
      <c r="B194" s="14">
        <v>0.97606000000000004</v>
      </c>
      <c r="C194" s="10">
        <f t="shared" si="8"/>
        <v>-9.999999999999109E-4</v>
      </c>
      <c r="D194" s="11">
        <f t="shared" si="9"/>
        <v>0.99515999999999838</v>
      </c>
      <c r="E194" s="13">
        <v>19.100000000000001</v>
      </c>
      <c r="F194" s="14">
        <v>0.97694000000000003</v>
      </c>
      <c r="G194" s="10">
        <f t="shared" si="10"/>
        <v>-9.999999999999109E-4</v>
      </c>
      <c r="H194" s="11">
        <f t="shared" si="11"/>
        <v>0.99603999999999837</v>
      </c>
    </row>
    <row r="195" spans="1:8" ht="13.8" thickBot="1">
      <c r="A195" s="13">
        <v>19.2</v>
      </c>
      <c r="B195" s="14">
        <v>0.97596000000000005</v>
      </c>
      <c r="C195" s="10">
        <f t="shared" si="8"/>
        <v>-1.0000000000009858E-3</v>
      </c>
      <c r="D195" s="11">
        <f t="shared" si="9"/>
        <v>0.99516000000001903</v>
      </c>
      <c r="E195" s="13">
        <v>19.2</v>
      </c>
      <c r="F195" s="14">
        <v>0.97684000000000004</v>
      </c>
      <c r="G195" s="10">
        <f t="shared" si="10"/>
        <v>-9.9999999999987555E-4</v>
      </c>
      <c r="H195" s="11">
        <f t="shared" si="11"/>
        <v>0.9960399999999977</v>
      </c>
    </row>
    <row r="196" spans="1:8" ht="13.8" thickBot="1">
      <c r="A196" s="13">
        <v>19.3</v>
      </c>
      <c r="B196" s="14">
        <v>0.97585999999999995</v>
      </c>
      <c r="C196" s="10">
        <f t="shared" ref="C196:C259" si="12">SLOPE(B196:B197,A196:A197)</f>
        <v>-9.999999999999109E-4</v>
      </c>
      <c r="D196" s="11">
        <f t="shared" ref="D196:D259" si="13">INTERCEPT(B196:B197,A196:A197)</f>
        <v>0.99515999999999827</v>
      </c>
      <c r="E196" s="13">
        <v>19.3</v>
      </c>
      <c r="F196" s="14">
        <v>0.97674000000000005</v>
      </c>
      <c r="G196" s="10">
        <f t="shared" ref="G196:G259" si="14">SLOPE(F196:F197,E196:E197)</f>
        <v>-1.0000000000010211E-3</v>
      </c>
      <c r="H196" s="11">
        <f t="shared" ref="H196:H259" si="15">INTERCEPT(F196:F197,E196:E197)</f>
        <v>0.9960400000000198</v>
      </c>
    </row>
    <row r="197" spans="1:8" ht="13.8" thickBot="1">
      <c r="A197" s="13">
        <v>19.399999999999999</v>
      </c>
      <c r="B197" s="14">
        <v>0.97575999999999996</v>
      </c>
      <c r="C197" s="10">
        <f t="shared" si="12"/>
        <v>-9.9999999999987555E-4</v>
      </c>
      <c r="D197" s="11">
        <f t="shared" si="13"/>
        <v>0.9951599999999976</v>
      </c>
      <c r="E197" s="13">
        <v>19.399999999999999</v>
      </c>
      <c r="F197" s="14">
        <v>0.97663999999999995</v>
      </c>
      <c r="G197" s="10">
        <f t="shared" si="14"/>
        <v>-9.9999999999987555E-4</v>
      </c>
      <c r="H197" s="11">
        <f t="shared" si="15"/>
        <v>0.99603999999999759</v>
      </c>
    </row>
    <row r="198" spans="1:8" ht="13.8" thickBot="1">
      <c r="A198" s="13">
        <v>19.5</v>
      </c>
      <c r="B198" s="14">
        <v>0.97565999999999997</v>
      </c>
      <c r="C198" s="10">
        <f t="shared" si="12"/>
        <v>-9.9999999999987555E-4</v>
      </c>
      <c r="D198" s="11">
        <f t="shared" si="13"/>
        <v>0.9951599999999976</v>
      </c>
      <c r="E198" s="13">
        <v>19.5</v>
      </c>
      <c r="F198" s="14">
        <v>0.97653999999999996</v>
      </c>
      <c r="G198" s="10">
        <f t="shared" si="14"/>
        <v>-9.9999999999987555E-4</v>
      </c>
      <c r="H198" s="11">
        <f t="shared" si="15"/>
        <v>0.99603999999999759</v>
      </c>
    </row>
    <row r="199" spans="1:8" ht="13.8" thickBot="1">
      <c r="A199" s="13">
        <v>19.600000000000001</v>
      </c>
      <c r="B199" s="14">
        <v>0.97555999999999998</v>
      </c>
      <c r="C199" s="10">
        <f t="shared" si="12"/>
        <v>-9.999999999999109E-4</v>
      </c>
      <c r="D199" s="11">
        <f t="shared" si="13"/>
        <v>0.99515999999999827</v>
      </c>
      <c r="E199" s="13">
        <v>19.600000000000001</v>
      </c>
      <c r="F199" s="14">
        <v>0.97643999999999997</v>
      </c>
      <c r="G199" s="10">
        <f t="shared" si="14"/>
        <v>-9.999999999999109E-4</v>
      </c>
      <c r="H199" s="11">
        <f t="shared" si="15"/>
        <v>0.99603999999999826</v>
      </c>
    </row>
    <row r="200" spans="1:8" ht="13.8" thickBot="1">
      <c r="A200" s="13">
        <v>19.7</v>
      </c>
      <c r="B200" s="14">
        <v>0.97545999999999999</v>
      </c>
      <c r="C200" s="10">
        <f t="shared" si="12"/>
        <v>-9.9999999999987555E-4</v>
      </c>
      <c r="D200" s="11">
        <f t="shared" si="13"/>
        <v>0.99515999999999749</v>
      </c>
      <c r="E200" s="13">
        <v>19.7</v>
      </c>
      <c r="F200" s="14">
        <v>0.97633999999999999</v>
      </c>
      <c r="G200" s="10">
        <f t="shared" si="14"/>
        <v>-9.9999999999987555E-4</v>
      </c>
      <c r="H200" s="11">
        <f t="shared" si="15"/>
        <v>0.99603999999999748</v>
      </c>
    </row>
    <row r="201" spans="1:8" ht="13.8" thickBot="1">
      <c r="A201" s="13">
        <v>19.8</v>
      </c>
      <c r="B201" s="14">
        <v>0.97536</v>
      </c>
      <c r="C201" s="10">
        <f t="shared" si="12"/>
        <v>-9.999999999999109E-4</v>
      </c>
      <c r="D201" s="11">
        <f t="shared" si="13"/>
        <v>0.99515999999999827</v>
      </c>
      <c r="E201" s="13">
        <v>19.8</v>
      </c>
      <c r="F201" s="14">
        <v>0.97624</v>
      </c>
      <c r="G201" s="10">
        <f t="shared" si="14"/>
        <v>-9.999999999999109E-4</v>
      </c>
      <c r="H201" s="11">
        <f t="shared" si="15"/>
        <v>0.99603999999999826</v>
      </c>
    </row>
    <row r="202" spans="1:8" ht="13.8" thickBot="1">
      <c r="A202" s="13">
        <v>19.899999999999999</v>
      </c>
      <c r="B202" s="14">
        <v>0.97526000000000002</v>
      </c>
      <c r="C202" s="10">
        <f t="shared" si="12"/>
        <v>-9.0000000000033207E-4</v>
      </c>
      <c r="D202" s="11">
        <f t="shared" si="13"/>
        <v>0.99317000000000655</v>
      </c>
      <c r="E202" s="13">
        <v>19.899999999999999</v>
      </c>
      <c r="F202" s="14">
        <v>0.97614000000000001</v>
      </c>
      <c r="G202" s="10">
        <f t="shared" si="14"/>
        <v>-9.0000000000033207E-4</v>
      </c>
      <c r="H202" s="11">
        <f t="shared" si="15"/>
        <v>0.99405000000000654</v>
      </c>
    </row>
    <row r="203" spans="1:8" ht="13.8" thickBot="1">
      <c r="A203" s="8">
        <v>20</v>
      </c>
      <c r="B203" s="17">
        <v>0.97516999999999998</v>
      </c>
      <c r="C203" s="10">
        <f t="shared" si="12"/>
        <v>-9.9999999999987555E-4</v>
      </c>
      <c r="D203" s="11">
        <f t="shared" si="13"/>
        <v>0.99516999999999745</v>
      </c>
      <c r="E203" s="8">
        <v>20</v>
      </c>
      <c r="F203" s="17">
        <v>0.97604999999999997</v>
      </c>
      <c r="G203" s="10">
        <f t="shared" si="14"/>
        <v>-9.9999999999987555E-4</v>
      </c>
      <c r="H203" s="11">
        <f t="shared" si="15"/>
        <v>0.99604999999999744</v>
      </c>
    </row>
    <row r="204" spans="1:8" ht="13.8" thickBot="1">
      <c r="A204" s="20">
        <v>20.100000000000001</v>
      </c>
      <c r="B204" s="14">
        <v>0.97506999999999999</v>
      </c>
      <c r="C204" s="10">
        <f t="shared" si="12"/>
        <v>-9.999999999999109E-4</v>
      </c>
      <c r="D204" s="11">
        <f t="shared" si="13"/>
        <v>0.99516999999999822</v>
      </c>
      <c r="E204" s="20">
        <v>20.100000000000001</v>
      </c>
      <c r="F204" s="14">
        <v>0.97594999999999998</v>
      </c>
      <c r="G204" s="10">
        <f t="shared" si="14"/>
        <v>-9.999999999999109E-4</v>
      </c>
      <c r="H204" s="11">
        <f t="shared" si="15"/>
        <v>0.99604999999999821</v>
      </c>
    </row>
    <row r="205" spans="1:8" ht="13.8" thickBot="1">
      <c r="A205" s="20">
        <v>20.2</v>
      </c>
      <c r="B205" s="14">
        <v>0.97497</v>
      </c>
      <c r="C205" s="10">
        <f t="shared" si="12"/>
        <v>-9.9999999999987555E-4</v>
      </c>
      <c r="D205" s="11">
        <f t="shared" si="13"/>
        <v>0.99516999999999745</v>
      </c>
      <c r="E205" s="20">
        <v>20.2</v>
      </c>
      <c r="F205" s="14">
        <v>0.97585</v>
      </c>
      <c r="G205" s="10">
        <f t="shared" si="14"/>
        <v>-9.9999999999987555E-4</v>
      </c>
      <c r="H205" s="11">
        <f t="shared" si="15"/>
        <v>0.99604999999999744</v>
      </c>
    </row>
    <row r="206" spans="1:8" ht="13.8" thickBot="1">
      <c r="A206" s="20">
        <v>20.3</v>
      </c>
      <c r="B206" s="14">
        <v>0.97487000000000001</v>
      </c>
      <c r="C206" s="10">
        <f t="shared" si="12"/>
        <v>-9.999999999999109E-4</v>
      </c>
      <c r="D206" s="11">
        <f t="shared" si="13"/>
        <v>0.99516999999999822</v>
      </c>
      <c r="E206" s="20">
        <v>20.3</v>
      </c>
      <c r="F206" s="14">
        <v>0.97575000000000001</v>
      </c>
      <c r="G206" s="10">
        <f t="shared" si="14"/>
        <v>-9.999999999999109E-4</v>
      </c>
      <c r="H206" s="11">
        <f t="shared" si="15"/>
        <v>0.99604999999999821</v>
      </c>
    </row>
    <row r="207" spans="1:8" ht="13.8" thickBot="1">
      <c r="A207" s="20">
        <v>20.399999999999999</v>
      </c>
      <c r="B207" s="14">
        <v>0.97477000000000003</v>
      </c>
      <c r="C207" s="10">
        <f t="shared" si="12"/>
        <v>-9.9999999999987555E-4</v>
      </c>
      <c r="D207" s="11">
        <f t="shared" si="13"/>
        <v>0.99516999999999745</v>
      </c>
      <c r="E207" s="20">
        <v>20.399999999999999</v>
      </c>
      <c r="F207" s="14">
        <v>0.97565000000000002</v>
      </c>
      <c r="G207" s="10">
        <f t="shared" si="14"/>
        <v>-9.9999999999987555E-4</v>
      </c>
      <c r="H207" s="11">
        <f t="shared" si="15"/>
        <v>0.99604999999999744</v>
      </c>
    </row>
    <row r="208" spans="1:8" ht="13.8" thickBot="1">
      <c r="A208" s="20">
        <v>20.5</v>
      </c>
      <c r="B208" s="14">
        <v>0.97467000000000004</v>
      </c>
      <c r="C208" s="10">
        <f t="shared" si="12"/>
        <v>-9.9999999999987555E-4</v>
      </c>
      <c r="D208" s="11">
        <f t="shared" si="13"/>
        <v>0.99516999999999745</v>
      </c>
      <c r="E208" s="20">
        <v>20.5</v>
      </c>
      <c r="F208" s="14">
        <v>0.97555000000000003</v>
      </c>
      <c r="G208" s="10">
        <f t="shared" si="14"/>
        <v>-9.9999999999987555E-4</v>
      </c>
      <c r="H208" s="11">
        <f t="shared" si="15"/>
        <v>0.99604999999999744</v>
      </c>
    </row>
    <row r="209" spans="1:8" ht="13.8" thickBot="1">
      <c r="A209" s="20">
        <v>20.6</v>
      </c>
      <c r="B209" s="14">
        <v>0.97457000000000005</v>
      </c>
      <c r="C209" s="10">
        <f t="shared" si="12"/>
        <v>-1.0000000000010211E-3</v>
      </c>
      <c r="D209" s="11">
        <f t="shared" si="13"/>
        <v>0.99517000000002109</v>
      </c>
      <c r="E209" s="20">
        <v>20.6</v>
      </c>
      <c r="F209" s="14">
        <v>0.97545000000000004</v>
      </c>
      <c r="G209" s="10">
        <f t="shared" si="14"/>
        <v>-9.999999999999109E-4</v>
      </c>
      <c r="H209" s="11">
        <f t="shared" si="15"/>
        <v>0.99604999999999821</v>
      </c>
    </row>
    <row r="210" spans="1:8" ht="13.8" thickBot="1">
      <c r="A210" s="20">
        <v>20.7</v>
      </c>
      <c r="B210" s="14">
        <v>0.97446999999999995</v>
      </c>
      <c r="C210" s="10">
        <f t="shared" si="12"/>
        <v>-9.9999999999987555E-4</v>
      </c>
      <c r="D210" s="11">
        <f t="shared" si="13"/>
        <v>0.99516999999999733</v>
      </c>
      <c r="E210" s="20">
        <v>20.7</v>
      </c>
      <c r="F210" s="14">
        <v>0.97535000000000005</v>
      </c>
      <c r="G210" s="10">
        <f t="shared" si="14"/>
        <v>-1.0000000000009858E-3</v>
      </c>
      <c r="H210" s="11">
        <f t="shared" si="15"/>
        <v>0.99605000000002053</v>
      </c>
    </row>
    <row r="211" spans="1:8" ht="13.8" thickBot="1">
      <c r="A211" s="20">
        <v>20.8</v>
      </c>
      <c r="B211" s="14">
        <v>0.97436999999999996</v>
      </c>
      <c r="C211" s="10">
        <f t="shared" si="12"/>
        <v>-9.999999999999109E-4</v>
      </c>
      <c r="D211" s="11">
        <f t="shared" si="13"/>
        <v>0.99516999999999811</v>
      </c>
      <c r="E211" s="20">
        <v>20.8</v>
      </c>
      <c r="F211" s="14">
        <v>0.97524999999999995</v>
      </c>
      <c r="G211" s="10">
        <f t="shared" si="14"/>
        <v>-9.999999999999109E-4</v>
      </c>
      <c r="H211" s="11">
        <f t="shared" si="15"/>
        <v>0.9960499999999981</v>
      </c>
    </row>
    <row r="212" spans="1:8" ht="13.8" thickBot="1">
      <c r="A212" s="21">
        <v>20.9</v>
      </c>
      <c r="B212" s="16">
        <v>0.97426999999999997</v>
      </c>
      <c r="C212" s="10">
        <f t="shared" si="12"/>
        <v>-9.9999999999987555E-4</v>
      </c>
      <c r="D212" s="11">
        <f t="shared" si="13"/>
        <v>0.99516999999999733</v>
      </c>
      <c r="E212" s="21">
        <v>20.9</v>
      </c>
      <c r="F212" s="16">
        <v>0.97514999999999996</v>
      </c>
      <c r="G212" s="10">
        <f t="shared" si="14"/>
        <v>-9.9999999999987555E-4</v>
      </c>
      <c r="H212" s="11">
        <f t="shared" si="15"/>
        <v>0.99604999999999733</v>
      </c>
    </row>
    <row r="213" spans="1:8" ht="13.8" thickBot="1">
      <c r="A213" s="21">
        <v>21</v>
      </c>
      <c r="B213" s="16">
        <v>0.97416999999999998</v>
      </c>
      <c r="C213" s="10">
        <f t="shared" si="12"/>
        <v>-9.9999999999987555E-4</v>
      </c>
      <c r="D213" s="11">
        <f t="shared" si="13"/>
        <v>0.99516999999999733</v>
      </c>
      <c r="E213" s="21">
        <v>21</v>
      </c>
      <c r="F213" s="16">
        <v>0.97504999999999997</v>
      </c>
      <c r="G213" s="10">
        <f t="shared" si="14"/>
        <v>-9.9999999999987555E-4</v>
      </c>
      <c r="H213" s="11">
        <f t="shared" si="15"/>
        <v>0.99604999999999733</v>
      </c>
    </row>
    <row r="214" spans="1:8" ht="13.8" thickBot="1">
      <c r="A214" s="20">
        <v>21.1</v>
      </c>
      <c r="B214" s="14">
        <v>0.97406999999999999</v>
      </c>
      <c r="C214" s="10">
        <f t="shared" si="12"/>
        <v>-9.999999999999109E-4</v>
      </c>
      <c r="D214" s="11">
        <f t="shared" si="13"/>
        <v>0.99516999999999811</v>
      </c>
      <c r="E214" s="20">
        <v>21.1</v>
      </c>
      <c r="F214" s="14">
        <v>0.97494999999999998</v>
      </c>
      <c r="G214" s="10">
        <f t="shared" si="14"/>
        <v>-9.999999999999109E-4</v>
      </c>
      <c r="H214" s="11">
        <f t="shared" si="15"/>
        <v>0.9960499999999981</v>
      </c>
    </row>
    <row r="215" spans="1:8" ht="13.8" thickBot="1">
      <c r="A215" s="20">
        <v>21.2</v>
      </c>
      <c r="B215" s="14">
        <v>0.97397</v>
      </c>
      <c r="C215" s="10">
        <f t="shared" si="12"/>
        <v>-9.9999999999987555E-4</v>
      </c>
      <c r="D215" s="11">
        <f t="shared" si="13"/>
        <v>0.99516999999999733</v>
      </c>
      <c r="E215" s="20">
        <v>21.2</v>
      </c>
      <c r="F215" s="14">
        <v>0.97484999999999999</v>
      </c>
      <c r="G215" s="10">
        <f t="shared" si="14"/>
        <v>-9.9999999999987555E-4</v>
      </c>
      <c r="H215" s="11">
        <f t="shared" si="15"/>
        <v>0.99604999999999733</v>
      </c>
    </row>
    <row r="216" spans="1:8" ht="13.8" thickBot="1">
      <c r="A216" s="20">
        <v>21.3</v>
      </c>
      <c r="B216" s="14">
        <v>0.97387000000000001</v>
      </c>
      <c r="C216" s="10">
        <f t="shared" si="12"/>
        <v>-9.999999999999109E-4</v>
      </c>
      <c r="D216" s="11">
        <f t="shared" si="13"/>
        <v>0.99516999999999811</v>
      </c>
      <c r="E216" s="20">
        <v>21.3</v>
      </c>
      <c r="F216" s="14">
        <v>0.97475000000000001</v>
      </c>
      <c r="G216" s="10">
        <f t="shared" si="14"/>
        <v>-9.999999999999109E-4</v>
      </c>
      <c r="H216" s="11">
        <f t="shared" si="15"/>
        <v>0.9960499999999981</v>
      </c>
    </row>
    <row r="217" spans="1:8" ht="13.8" thickBot="1">
      <c r="A217" s="20">
        <v>21.4</v>
      </c>
      <c r="B217" s="14">
        <v>0.97377000000000002</v>
      </c>
      <c r="C217" s="10">
        <f t="shared" si="12"/>
        <v>-9.9999999999987555E-4</v>
      </c>
      <c r="D217" s="11">
        <f t="shared" si="13"/>
        <v>0.99516999999999733</v>
      </c>
      <c r="E217" s="20">
        <v>21.4</v>
      </c>
      <c r="F217" s="14">
        <v>0.97465000000000002</v>
      </c>
      <c r="G217" s="10">
        <f t="shared" si="14"/>
        <v>-9.9999999999987555E-4</v>
      </c>
      <c r="H217" s="11">
        <f t="shared" si="15"/>
        <v>0.99604999999999733</v>
      </c>
    </row>
    <row r="218" spans="1:8" ht="13.8" thickBot="1">
      <c r="A218" s="20">
        <v>21.5</v>
      </c>
      <c r="B218" s="14">
        <v>0.97367000000000004</v>
      </c>
      <c r="C218" s="10">
        <f t="shared" si="12"/>
        <v>-9.9999999999987555E-4</v>
      </c>
      <c r="D218" s="11">
        <f t="shared" si="13"/>
        <v>0.99516999999999733</v>
      </c>
      <c r="E218" s="20">
        <v>21.5</v>
      </c>
      <c r="F218" s="14">
        <v>0.97455000000000003</v>
      </c>
      <c r="G218" s="10">
        <f t="shared" si="14"/>
        <v>-9.9999999999987555E-4</v>
      </c>
      <c r="H218" s="11">
        <f t="shared" si="15"/>
        <v>0.99604999999999733</v>
      </c>
    </row>
    <row r="219" spans="1:8" ht="13.8" thickBot="1">
      <c r="A219" s="20">
        <v>21.6</v>
      </c>
      <c r="B219" s="14">
        <v>0.97357000000000005</v>
      </c>
      <c r="C219" s="10">
        <f t="shared" si="12"/>
        <v>-1.0000000000010211E-3</v>
      </c>
      <c r="D219" s="11">
        <f t="shared" si="13"/>
        <v>0.99517000000002209</v>
      </c>
      <c r="E219" s="20">
        <v>21.6</v>
      </c>
      <c r="F219" s="14">
        <v>0.97445000000000004</v>
      </c>
      <c r="G219" s="10">
        <f t="shared" si="14"/>
        <v>-9.999999999999109E-4</v>
      </c>
      <c r="H219" s="11">
        <f t="shared" si="15"/>
        <v>0.9960499999999981</v>
      </c>
    </row>
    <row r="220" spans="1:8" ht="13.8" thickBot="1">
      <c r="A220" s="20">
        <v>21.7</v>
      </c>
      <c r="B220" s="14">
        <v>0.97346999999999995</v>
      </c>
      <c r="C220" s="10">
        <f t="shared" si="12"/>
        <v>-9.9999999999987555E-4</v>
      </c>
      <c r="D220" s="11">
        <f t="shared" si="13"/>
        <v>0.99516999999999722</v>
      </c>
      <c r="E220" s="20">
        <v>21.7</v>
      </c>
      <c r="F220" s="14">
        <v>0.97435000000000005</v>
      </c>
      <c r="G220" s="10">
        <f t="shared" si="14"/>
        <v>-1.0000000000009858E-3</v>
      </c>
      <c r="H220" s="11">
        <f t="shared" si="15"/>
        <v>0.99605000000002142</v>
      </c>
    </row>
    <row r="221" spans="1:8" ht="13.8" thickBot="1">
      <c r="A221" s="20">
        <v>21.8</v>
      </c>
      <c r="B221" s="14">
        <v>0.97336999999999996</v>
      </c>
      <c r="C221" s="10">
        <f t="shared" si="12"/>
        <v>-9.999999999999109E-4</v>
      </c>
      <c r="D221" s="11">
        <f t="shared" si="13"/>
        <v>0.995169999999998</v>
      </c>
      <c r="E221" s="20">
        <v>21.8</v>
      </c>
      <c r="F221" s="14">
        <v>0.97424999999999995</v>
      </c>
      <c r="G221" s="10">
        <f t="shared" si="14"/>
        <v>-9.999999999999109E-4</v>
      </c>
      <c r="H221" s="11">
        <f t="shared" si="15"/>
        <v>0.99604999999999799</v>
      </c>
    </row>
    <row r="222" spans="1:8" ht="13.8" thickBot="1">
      <c r="A222" s="20">
        <v>21.9</v>
      </c>
      <c r="B222" s="14">
        <v>0.97326999999999997</v>
      </c>
      <c r="C222" s="10">
        <f t="shared" si="12"/>
        <v>-9.9999999999987555E-4</v>
      </c>
      <c r="D222" s="11">
        <f t="shared" si="13"/>
        <v>0.99516999999999722</v>
      </c>
      <c r="E222" s="20">
        <v>21.9</v>
      </c>
      <c r="F222" s="14">
        <v>0.97414999999999996</v>
      </c>
      <c r="G222" s="10">
        <f t="shared" si="14"/>
        <v>-9.9999999999987555E-4</v>
      </c>
      <c r="H222" s="11">
        <f t="shared" si="15"/>
        <v>0.99604999999999722</v>
      </c>
    </row>
    <row r="223" spans="1:8" ht="13.8" thickBot="1">
      <c r="A223" s="22">
        <v>22</v>
      </c>
      <c r="B223" s="17">
        <v>0.97316999999999998</v>
      </c>
      <c r="C223" s="10">
        <f t="shared" si="12"/>
        <v>-9.9999999999987555E-4</v>
      </c>
      <c r="D223" s="11">
        <f t="shared" si="13"/>
        <v>0.99516999999999722</v>
      </c>
      <c r="E223" s="22">
        <v>22</v>
      </c>
      <c r="F223" s="17">
        <v>0.97404999999999997</v>
      </c>
      <c r="G223" s="10">
        <f t="shared" si="14"/>
        <v>-9.9999999999987555E-4</v>
      </c>
      <c r="H223" s="11">
        <f t="shared" si="15"/>
        <v>0.99604999999999722</v>
      </c>
    </row>
    <row r="224" spans="1:8" ht="13.8" thickBot="1">
      <c r="A224" s="20">
        <v>22.1</v>
      </c>
      <c r="B224" s="14">
        <v>0.97306999999999999</v>
      </c>
      <c r="C224" s="10">
        <f t="shared" si="12"/>
        <v>-9.999999999999109E-4</v>
      </c>
      <c r="D224" s="11">
        <f t="shared" si="13"/>
        <v>0.995169999999998</v>
      </c>
      <c r="E224" s="20">
        <v>22.1</v>
      </c>
      <c r="F224" s="14">
        <v>0.97394999999999998</v>
      </c>
      <c r="G224" s="10">
        <f t="shared" si="14"/>
        <v>-9.999999999999109E-4</v>
      </c>
      <c r="H224" s="11">
        <f t="shared" si="15"/>
        <v>0.99604999999999799</v>
      </c>
    </row>
    <row r="225" spans="1:8" ht="13.8" thickBot="1">
      <c r="A225" s="20">
        <v>22.2</v>
      </c>
      <c r="B225" s="14">
        <v>0.97297</v>
      </c>
      <c r="C225" s="10">
        <f t="shared" si="12"/>
        <v>-9.9999999999987555E-4</v>
      </c>
      <c r="D225" s="11">
        <f t="shared" si="13"/>
        <v>0.99516999999999722</v>
      </c>
      <c r="E225" s="20">
        <v>22.2</v>
      </c>
      <c r="F225" s="14">
        <v>0.97384999999999999</v>
      </c>
      <c r="G225" s="10">
        <f t="shared" si="14"/>
        <v>-9.9999999999987555E-4</v>
      </c>
      <c r="H225" s="11">
        <f t="shared" si="15"/>
        <v>0.99604999999999722</v>
      </c>
    </row>
    <row r="226" spans="1:8" ht="13.8" thickBot="1">
      <c r="A226" s="20">
        <v>22.3</v>
      </c>
      <c r="B226" s="14">
        <v>0.97287000000000001</v>
      </c>
      <c r="C226" s="10">
        <f t="shared" si="12"/>
        <v>-9.999999999999109E-4</v>
      </c>
      <c r="D226" s="11">
        <f t="shared" si="13"/>
        <v>0.995169999999998</v>
      </c>
      <c r="E226" s="20">
        <v>22.3</v>
      </c>
      <c r="F226" s="14">
        <v>0.97375</v>
      </c>
      <c r="G226" s="10">
        <f t="shared" si="14"/>
        <v>-9.999999999999109E-4</v>
      </c>
      <c r="H226" s="11">
        <f t="shared" si="15"/>
        <v>0.99604999999999799</v>
      </c>
    </row>
    <row r="227" spans="1:8" ht="13.8" thickBot="1">
      <c r="A227" s="20">
        <v>22.4</v>
      </c>
      <c r="B227" s="14">
        <v>0.97277000000000002</v>
      </c>
      <c r="C227" s="10">
        <f t="shared" si="12"/>
        <v>-1.1000000000005292E-3</v>
      </c>
      <c r="D227" s="11">
        <f t="shared" si="13"/>
        <v>0.9974100000000119</v>
      </c>
      <c r="E227" s="20">
        <v>22.4</v>
      </c>
      <c r="F227" s="14">
        <v>0.97365000000000002</v>
      </c>
      <c r="G227" s="10">
        <f t="shared" si="14"/>
        <v>-1.1000000000005292E-3</v>
      </c>
      <c r="H227" s="11">
        <f t="shared" si="15"/>
        <v>0.99829000000001189</v>
      </c>
    </row>
    <row r="228" spans="1:8" ht="13.8" thickBot="1">
      <c r="A228" s="20">
        <v>22.5</v>
      </c>
      <c r="B228" s="14">
        <v>0.97265999999999997</v>
      </c>
      <c r="C228" s="10">
        <f t="shared" si="12"/>
        <v>-9.9999999999987555E-4</v>
      </c>
      <c r="D228" s="11">
        <f t="shared" si="13"/>
        <v>0.99515999999999716</v>
      </c>
      <c r="E228" s="20">
        <v>22.5</v>
      </c>
      <c r="F228" s="14">
        <v>0.97353999999999996</v>
      </c>
      <c r="G228" s="10">
        <f t="shared" si="14"/>
        <v>-9.9999999999987555E-4</v>
      </c>
      <c r="H228" s="11">
        <f t="shared" si="15"/>
        <v>0.99603999999999715</v>
      </c>
    </row>
    <row r="229" spans="1:8" ht="13.8" thickBot="1">
      <c r="A229" s="20">
        <v>22.6</v>
      </c>
      <c r="B229" s="14">
        <v>0.97255999999999998</v>
      </c>
      <c r="C229" s="10">
        <f t="shared" si="12"/>
        <v>-9.999999999999109E-4</v>
      </c>
      <c r="D229" s="11">
        <f t="shared" si="13"/>
        <v>0.99515999999999794</v>
      </c>
      <c r="E229" s="20">
        <v>22.6</v>
      </c>
      <c r="F229" s="14">
        <v>0.97343999999999997</v>
      </c>
      <c r="G229" s="10">
        <f t="shared" si="14"/>
        <v>-9.999999999999109E-4</v>
      </c>
      <c r="H229" s="11">
        <f t="shared" si="15"/>
        <v>0.99603999999999793</v>
      </c>
    </row>
    <row r="230" spans="1:8" ht="13.8" thickBot="1">
      <c r="A230" s="20">
        <v>22.7</v>
      </c>
      <c r="B230" s="14">
        <v>0.97245999999999999</v>
      </c>
      <c r="C230" s="10">
        <f t="shared" si="12"/>
        <v>-9.9999999999987555E-4</v>
      </c>
      <c r="D230" s="11">
        <f t="shared" si="13"/>
        <v>0.99515999999999716</v>
      </c>
      <c r="E230" s="20">
        <v>22.7</v>
      </c>
      <c r="F230" s="14">
        <v>0.97333999999999998</v>
      </c>
      <c r="G230" s="10">
        <f t="shared" si="14"/>
        <v>-9.9999999999987555E-4</v>
      </c>
      <c r="H230" s="11">
        <f t="shared" si="15"/>
        <v>0.99603999999999715</v>
      </c>
    </row>
    <row r="231" spans="1:8" ht="13.8" thickBot="1">
      <c r="A231" s="20">
        <v>22.8</v>
      </c>
      <c r="B231" s="14">
        <v>0.97236</v>
      </c>
      <c r="C231" s="10">
        <f t="shared" si="12"/>
        <v>-9.999999999999109E-4</v>
      </c>
      <c r="D231" s="11">
        <f t="shared" si="13"/>
        <v>0.99515999999999794</v>
      </c>
      <c r="E231" s="20">
        <v>22.8</v>
      </c>
      <c r="F231" s="14">
        <v>0.97323999999999999</v>
      </c>
      <c r="G231" s="10">
        <f t="shared" si="14"/>
        <v>-9.999999999999109E-4</v>
      </c>
      <c r="H231" s="11">
        <f t="shared" si="15"/>
        <v>0.99603999999999793</v>
      </c>
    </row>
    <row r="232" spans="1:8" ht="13.8" thickBot="1">
      <c r="A232" s="20">
        <v>22.9</v>
      </c>
      <c r="B232" s="14">
        <v>0.97226000000000001</v>
      </c>
      <c r="C232" s="10">
        <f t="shared" si="12"/>
        <v>-9.9999999999987555E-4</v>
      </c>
      <c r="D232" s="11">
        <f t="shared" si="13"/>
        <v>0.99515999999999716</v>
      </c>
      <c r="E232" s="20">
        <v>22.9</v>
      </c>
      <c r="F232" s="14">
        <v>0.97314000000000001</v>
      </c>
      <c r="G232" s="10">
        <f t="shared" si="14"/>
        <v>-9.9999999999987555E-4</v>
      </c>
      <c r="H232" s="11">
        <f t="shared" si="15"/>
        <v>0.99603999999999715</v>
      </c>
    </row>
    <row r="233" spans="1:8" ht="13.8" thickBot="1">
      <c r="A233" s="22">
        <v>23</v>
      </c>
      <c r="B233" s="17">
        <v>0.97216000000000002</v>
      </c>
      <c r="C233" s="10">
        <f t="shared" si="12"/>
        <v>-9.9999999999987555E-4</v>
      </c>
      <c r="D233" s="11">
        <f t="shared" si="13"/>
        <v>0.99515999999999716</v>
      </c>
      <c r="E233" s="22">
        <v>23</v>
      </c>
      <c r="F233" s="17">
        <v>0.97304000000000002</v>
      </c>
      <c r="G233" s="10">
        <f t="shared" si="14"/>
        <v>-9.9999999999987555E-4</v>
      </c>
      <c r="H233" s="11">
        <f t="shared" si="15"/>
        <v>0.99603999999999715</v>
      </c>
    </row>
    <row r="234" spans="1:8" ht="13.8" thickBot="1">
      <c r="A234" s="20">
        <v>23.1</v>
      </c>
      <c r="B234" s="14">
        <v>0.97206000000000004</v>
      </c>
      <c r="C234" s="10">
        <f t="shared" si="12"/>
        <v>-9.999999999999109E-4</v>
      </c>
      <c r="D234" s="11">
        <f t="shared" si="13"/>
        <v>0.99515999999999794</v>
      </c>
      <c r="E234" s="20">
        <v>23.1</v>
      </c>
      <c r="F234" s="14">
        <v>0.97294000000000003</v>
      </c>
      <c r="G234" s="10">
        <f t="shared" si="14"/>
        <v>-9.999999999999109E-4</v>
      </c>
      <c r="H234" s="11">
        <f t="shared" si="15"/>
        <v>0.99603999999999793</v>
      </c>
    </row>
    <row r="235" spans="1:8" ht="13.8" thickBot="1">
      <c r="A235" s="20">
        <v>23.2</v>
      </c>
      <c r="B235" s="14">
        <v>0.97196000000000005</v>
      </c>
      <c r="C235" s="10">
        <f t="shared" si="12"/>
        <v>-1.0000000000009858E-3</v>
      </c>
      <c r="D235" s="11">
        <f t="shared" si="13"/>
        <v>0.99516000000002292</v>
      </c>
      <c r="E235" s="20">
        <v>23.2</v>
      </c>
      <c r="F235" s="14">
        <v>0.97284000000000004</v>
      </c>
      <c r="G235" s="10">
        <f t="shared" si="14"/>
        <v>-9.9999999999987555E-4</v>
      </c>
      <c r="H235" s="11">
        <f t="shared" si="15"/>
        <v>0.99603999999999715</v>
      </c>
    </row>
    <row r="236" spans="1:8" ht="13.8" thickBot="1">
      <c r="A236" s="20">
        <v>23.3</v>
      </c>
      <c r="B236" s="14">
        <v>0.97185999999999995</v>
      </c>
      <c r="C236" s="10">
        <f t="shared" si="12"/>
        <v>-1.099999999999458E-3</v>
      </c>
      <c r="D236" s="11">
        <f t="shared" si="13"/>
        <v>0.99748999999998733</v>
      </c>
      <c r="E236" s="20">
        <v>23.3</v>
      </c>
      <c r="F236" s="14">
        <v>0.97274000000000005</v>
      </c>
      <c r="G236" s="10">
        <f t="shared" si="14"/>
        <v>-1.1000000000005682E-3</v>
      </c>
      <c r="H236" s="11">
        <f t="shared" si="15"/>
        <v>0.9983700000000133</v>
      </c>
    </row>
    <row r="237" spans="1:8" ht="13.8" thickBot="1">
      <c r="A237" s="20">
        <v>23.4</v>
      </c>
      <c r="B237" s="14">
        <v>0.97175</v>
      </c>
      <c r="C237" s="10">
        <f t="shared" si="12"/>
        <v>-9.9999999999987555E-4</v>
      </c>
      <c r="D237" s="11">
        <f t="shared" si="13"/>
        <v>0.99514999999999709</v>
      </c>
      <c r="E237" s="20">
        <v>23.4</v>
      </c>
      <c r="F237" s="14">
        <v>0.97262999999999999</v>
      </c>
      <c r="G237" s="10">
        <f t="shared" si="14"/>
        <v>-9.9999999999987555E-4</v>
      </c>
      <c r="H237" s="11">
        <f t="shared" si="15"/>
        <v>0.99602999999999708</v>
      </c>
    </row>
    <row r="238" spans="1:8" ht="13.8" thickBot="1">
      <c r="A238" s="20">
        <v>23.5</v>
      </c>
      <c r="B238" s="14">
        <v>0.97165000000000001</v>
      </c>
      <c r="C238" s="10">
        <f t="shared" si="12"/>
        <v>-9.9999999999987555E-4</v>
      </c>
      <c r="D238" s="11">
        <f t="shared" si="13"/>
        <v>0.99514999999999709</v>
      </c>
      <c r="E238" s="20">
        <v>23.5</v>
      </c>
      <c r="F238" s="14">
        <v>0.97253000000000001</v>
      </c>
      <c r="G238" s="10">
        <f t="shared" si="14"/>
        <v>-9.9999999999987555E-4</v>
      </c>
      <c r="H238" s="11">
        <f t="shared" si="15"/>
        <v>0.99602999999999708</v>
      </c>
    </row>
    <row r="239" spans="1:8" ht="13.8" thickBot="1">
      <c r="A239" s="20">
        <v>23.6</v>
      </c>
      <c r="B239" s="14">
        <v>0.97155000000000002</v>
      </c>
      <c r="C239" s="10">
        <f t="shared" si="12"/>
        <v>-9.999999999999109E-4</v>
      </c>
      <c r="D239" s="11">
        <f t="shared" si="13"/>
        <v>0.99514999999999787</v>
      </c>
      <c r="E239" s="20">
        <v>23.6</v>
      </c>
      <c r="F239" s="14">
        <v>0.97243000000000002</v>
      </c>
      <c r="G239" s="10">
        <f t="shared" si="14"/>
        <v>-9.999999999999109E-4</v>
      </c>
      <c r="H239" s="11">
        <f t="shared" si="15"/>
        <v>0.99602999999999786</v>
      </c>
    </row>
    <row r="240" spans="1:8" ht="13.8" thickBot="1">
      <c r="A240" s="20">
        <v>23.7</v>
      </c>
      <c r="B240" s="14">
        <v>0.97145000000000004</v>
      </c>
      <c r="C240" s="10">
        <f t="shared" si="12"/>
        <v>-9.9999999999987555E-4</v>
      </c>
      <c r="D240" s="11">
        <f t="shared" si="13"/>
        <v>0.99514999999999709</v>
      </c>
      <c r="E240" s="20">
        <v>23.7</v>
      </c>
      <c r="F240" s="14">
        <v>0.97233000000000003</v>
      </c>
      <c r="G240" s="10">
        <f t="shared" si="14"/>
        <v>-9.9999999999987555E-4</v>
      </c>
      <c r="H240" s="11">
        <f t="shared" si="15"/>
        <v>0.99602999999999708</v>
      </c>
    </row>
    <row r="241" spans="1:8" ht="13.8" thickBot="1">
      <c r="A241" s="20">
        <v>23.8</v>
      </c>
      <c r="B241" s="14">
        <v>0.97135000000000005</v>
      </c>
      <c r="C241" s="10">
        <f t="shared" si="12"/>
        <v>-1.0000000000010211E-3</v>
      </c>
      <c r="D241" s="11">
        <f t="shared" si="13"/>
        <v>0.9951500000000244</v>
      </c>
      <c r="E241" s="20">
        <v>23.8</v>
      </c>
      <c r="F241" s="14">
        <v>0.97223000000000004</v>
      </c>
      <c r="G241" s="10">
        <f t="shared" si="14"/>
        <v>-1.1000000000005682E-3</v>
      </c>
      <c r="H241" s="11">
        <f t="shared" si="15"/>
        <v>0.99841000000001356</v>
      </c>
    </row>
    <row r="242" spans="1:8" ht="13.8" thickBot="1">
      <c r="A242" s="20">
        <v>23.9</v>
      </c>
      <c r="B242" s="14">
        <v>0.97124999999999995</v>
      </c>
      <c r="C242" s="10">
        <f t="shared" si="12"/>
        <v>-1.0999999999994192E-3</v>
      </c>
      <c r="D242" s="11">
        <f t="shared" si="13"/>
        <v>0.9975399999999861</v>
      </c>
      <c r="E242" s="20">
        <v>23.9</v>
      </c>
      <c r="F242" s="14">
        <v>0.97211999999999998</v>
      </c>
      <c r="G242" s="10">
        <f t="shared" si="14"/>
        <v>-1.0999999999994192E-3</v>
      </c>
      <c r="H242" s="11">
        <f t="shared" si="15"/>
        <v>0.99840999999998603</v>
      </c>
    </row>
    <row r="243" spans="1:8" ht="13.8" thickBot="1">
      <c r="A243" s="22">
        <v>24</v>
      </c>
      <c r="B243" s="17">
        <v>0.97114</v>
      </c>
      <c r="C243" s="10">
        <f t="shared" si="12"/>
        <v>-9.9999999999987555E-4</v>
      </c>
      <c r="D243" s="11">
        <f t="shared" si="13"/>
        <v>0.99513999999999703</v>
      </c>
      <c r="E243" s="22">
        <v>24</v>
      </c>
      <c r="F243" s="17">
        <v>0.97201000000000004</v>
      </c>
      <c r="G243" s="10">
        <f t="shared" si="14"/>
        <v>-9.9999999999987555E-4</v>
      </c>
      <c r="H243" s="11">
        <f t="shared" si="15"/>
        <v>0.99600999999999706</v>
      </c>
    </row>
    <row r="244" spans="1:8" ht="13.8" thickBot="1">
      <c r="A244" s="20">
        <v>24.1</v>
      </c>
      <c r="B244" s="14">
        <v>0.97104000000000001</v>
      </c>
      <c r="C244" s="10">
        <f t="shared" si="12"/>
        <v>-9.999999999999109E-4</v>
      </c>
      <c r="D244" s="11">
        <f t="shared" si="13"/>
        <v>0.99513999999999792</v>
      </c>
      <c r="E244" s="20">
        <v>24.1</v>
      </c>
      <c r="F244" s="14">
        <v>0.97191000000000005</v>
      </c>
      <c r="G244" s="10">
        <f t="shared" si="14"/>
        <v>-1.0000000000010211E-3</v>
      </c>
      <c r="H244" s="11">
        <f t="shared" si="15"/>
        <v>0.9960100000000246</v>
      </c>
    </row>
    <row r="245" spans="1:8" ht="13.8" thickBot="1">
      <c r="A245" s="20">
        <v>24.2</v>
      </c>
      <c r="B245" s="14">
        <v>0.97094000000000003</v>
      </c>
      <c r="C245" s="10">
        <f t="shared" si="12"/>
        <v>-9.9999999999987555E-4</v>
      </c>
      <c r="D245" s="11">
        <f t="shared" si="13"/>
        <v>0.99513999999999703</v>
      </c>
      <c r="E245" s="20">
        <v>24.2</v>
      </c>
      <c r="F245" s="14">
        <v>0.97180999999999995</v>
      </c>
      <c r="G245" s="10">
        <f t="shared" si="14"/>
        <v>-9.9999999999987555E-4</v>
      </c>
      <c r="H245" s="11">
        <f t="shared" si="15"/>
        <v>0.99600999999999695</v>
      </c>
    </row>
    <row r="246" spans="1:8" ht="13.8" thickBot="1">
      <c r="A246" s="20">
        <v>24.3</v>
      </c>
      <c r="B246" s="14">
        <v>0.97084000000000004</v>
      </c>
      <c r="C246" s="10">
        <f t="shared" si="12"/>
        <v>-1.1000000000005682E-3</v>
      </c>
      <c r="D246" s="11">
        <f t="shared" si="13"/>
        <v>0.99757000000001383</v>
      </c>
      <c r="E246" s="20">
        <v>24.3</v>
      </c>
      <c r="F246" s="14">
        <v>0.97170999999999996</v>
      </c>
      <c r="G246" s="10">
        <f t="shared" si="14"/>
        <v>-1.099999999999458E-3</v>
      </c>
      <c r="H246" s="11">
        <f t="shared" si="15"/>
        <v>0.99843999999998678</v>
      </c>
    </row>
    <row r="247" spans="1:8" ht="13.8" thickBot="1">
      <c r="A247" s="20">
        <v>24.4</v>
      </c>
      <c r="B247" s="14">
        <v>0.97072999999999998</v>
      </c>
      <c r="C247" s="10">
        <f t="shared" si="12"/>
        <v>-9.9999999999987555E-4</v>
      </c>
      <c r="D247" s="11">
        <f t="shared" si="13"/>
        <v>0.99512999999999696</v>
      </c>
      <c r="E247" s="20">
        <v>24.4</v>
      </c>
      <c r="F247" s="14">
        <v>0.97160000000000002</v>
      </c>
      <c r="G247" s="10">
        <f t="shared" si="14"/>
        <v>-9.9999999999987555E-4</v>
      </c>
      <c r="H247" s="11">
        <f t="shared" si="15"/>
        <v>0.995999999999997</v>
      </c>
    </row>
    <row r="248" spans="1:8" ht="13.8" thickBot="1">
      <c r="A248" s="20">
        <v>24.5</v>
      </c>
      <c r="B248" s="14">
        <v>0.97062999999999999</v>
      </c>
      <c r="C248" s="10">
        <f t="shared" si="12"/>
        <v>-9.9999999999987555E-4</v>
      </c>
      <c r="D248" s="11">
        <f t="shared" si="13"/>
        <v>0.99512999999999696</v>
      </c>
      <c r="E248" s="20">
        <v>24.5</v>
      </c>
      <c r="F248" s="14">
        <v>0.97150000000000003</v>
      </c>
      <c r="G248" s="10">
        <f t="shared" si="14"/>
        <v>-9.9999999999987555E-4</v>
      </c>
      <c r="H248" s="11">
        <f t="shared" si="15"/>
        <v>0.995999999999997</v>
      </c>
    </row>
    <row r="249" spans="1:8" ht="13.8" thickBot="1">
      <c r="A249" s="20">
        <v>24.6</v>
      </c>
      <c r="B249" s="14">
        <v>0.97053</v>
      </c>
      <c r="C249" s="10">
        <f t="shared" si="12"/>
        <v>-1.1000000000005682E-3</v>
      </c>
      <c r="D249" s="11">
        <f t="shared" si="13"/>
        <v>0.99759000000001397</v>
      </c>
      <c r="E249" s="20">
        <v>24.6</v>
      </c>
      <c r="F249" s="14">
        <v>0.97140000000000004</v>
      </c>
      <c r="G249" s="10">
        <f t="shared" si="14"/>
        <v>-1.1000000000005682E-3</v>
      </c>
      <c r="H249" s="11">
        <f t="shared" si="15"/>
        <v>0.998460000000014</v>
      </c>
    </row>
    <row r="250" spans="1:8" ht="13.8" thickBot="1">
      <c r="A250" s="20">
        <v>24.7</v>
      </c>
      <c r="B250" s="14">
        <v>0.97041999999999995</v>
      </c>
      <c r="C250" s="10">
        <f t="shared" si="12"/>
        <v>-9.9999999999987555E-4</v>
      </c>
      <c r="D250" s="11">
        <f t="shared" si="13"/>
        <v>0.9951199999999969</v>
      </c>
      <c r="E250" s="20">
        <v>24.7</v>
      </c>
      <c r="F250" s="14">
        <v>0.97128999999999999</v>
      </c>
      <c r="G250" s="10">
        <f t="shared" si="14"/>
        <v>-9.9999999999987555E-4</v>
      </c>
      <c r="H250" s="11">
        <f t="shared" si="15"/>
        <v>0.99598999999999693</v>
      </c>
    </row>
    <row r="251" spans="1:8" ht="13.8" thickBot="1">
      <c r="A251" s="20">
        <v>24.8</v>
      </c>
      <c r="B251" s="14">
        <v>0.97031999999999996</v>
      </c>
      <c r="C251" s="10">
        <f t="shared" si="12"/>
        <v>-9.999999999999109E-4</v>
      </c>
      <c r="D251" s="11">
        <f t="shared" si="13"/>
        <v>0.99511999999999778</v>
      </c>
      <c r="E251" s="20">
        <v>24.8</v>
      </c>
      <c r="F251" s="14">
        <v>0.97119</v>
      </c>
      <c r="G251" s="10">
        <f t="shared" si="14"/>
        <v>-9.999999999999109E-4</v>
      </c>
      <c r="H251" s="11">
        <f t="shared" si="15"/>
        <v>0.99598999999999782</v>
      </c>
    </row>
    <row r="252" spans="1:8" ht="13.8" thickBot="1">
      <c r="A252" s="20">
        <v>24.9</v>
      </c>
      <c r="B252" s="14">
        <v>0.97021999999999997</v>
      </c>
      <c r="C252" s="10">
        <f t="shared" si="12"/>
        <v>-1.0999999999994192E-3</v>
      </c>
      <c r="D252" s="11">
        <f t="shared" si="13"/>
        <v>0.99760999999998545</v>
      </c>
      <c r="E252" s="20">
        <v>24.9</v>
      </c>
      <c r="F252" s="14">
        <v>0.97109000000000001</v>
      </c>
      <c r="G252" s="10">
        <f t="shared" si="14"/>
        <v>-1.1000000000005292E-3</v>
      </c>
      <c r="H252" s="11">
        <f t="shared" si="15"/>
        <v>0.99848000000001313</v>
      </c>
    </row>
    <row r="253" spans="1:8" ht="13.8" thickBot="1">
      <c r="A253" s="22">
        <v>25</v>
      </c>
      <c r="B253" s="17">
        <v>0.97011000000000003</v>
      </c>
      <c r="C253" s="10">
        <f t="shared" si="12"/>
        <v>-9.9999999999987555E-4</v>
      </c>
      <c r="D253" s="11">
        <f t="shared" si="13"/>
        <v>0.99510999999999694</v>
      </c>
      <c r="E253" s="22">
        <v>25</v>
      </c>
      <c r="F253" s="17">
        <v>0.97097999999999995</v>
      </c>
      <c r="G253" s="10">
        <f t="shared" si="14"/>
        <v>-9.9999999999987555E-4</v>
      </c>
      <c r="H253" s="11">
        <f t="shared" si="15"/>
        <v>0.99597999999999687</v>
      </c>
    </row>
    <row r="254" spans="1:8" ht="13.8" thickBot="1">
      <c r="A254" s="20">
        <v>25.1</v>
      </c>
      <c r="B254" s="14">
        <v>0.97001000000000004</v>
      </c>
      <c r="C254" s="10">
        <f t="shared" si="12"/>
        <v>-9.999999999999109E-4</v>
      </c>
      <c r="D254" s="11">
        <f t="shared" si="13"/>
        <v>0.99510999999999783</v>
      </c>
      <c r="E254" s="20">
        <v>25.1</v>
      </c>
      <c r="F254" s="14">
        <v>0.97087999999999997</v>
      </c>
      <c r="G254" s="10">
        <f t="shared" si="14"/>
        <v>-9.999999999999109E-4</v>
      </c>
      <c r="H254" s="11">
        <f t="shared" si="15"/>
        <v>0.99597999999999776</v>
      </c>
    </row>
    <row r="255" spans="1:8" ht="13.8" thickBot="1">
      <c r="A255" s="20">
        <v>25.2</v>
      </c>
      <c r="B255" s="14">
        <v>0.96991000000000005</v>
      </c>
      <c r="C255" s="10">
        <f t="shared" si="12"/>
        <v>-1.1000000000005292E-3</v>
      </c>
      <c r="D255" s="11">
        <f t="shared" si="13"/>
        <v>0.99763000000001334</v>
      </c>
      <c r="E255" s="20">
        <v>25.2</v>
      </c>
      <c r="F255" s="14">
        <v>0.97077999999999998</v>
      </c>
      <c r="G255" s="10">
        <f t="shared" si="14"/>
        <v>-1.0999999999994192E-3</v>
      </c>
      <c r="H255" s="11">
        <f t="shared" si="15"/>
        <v>0.9984999999999854</v>
      </c>
    </row>
    <row r="256" spans="1:8" ht="13.8" thickBot="1">
      <c r="A256" s="20">
        <v>25.3</v>
      </c>
      <c r="B256" s="14">
        <v>0.9698</v>
      </c>
      <c r="C256" s="10">
        <f t="shared" si="12"/>
        <v>-9.999999999999109E-4</v>
      </c>
      <c r="D256" s="11">
        <f t="shared" si="13"/>
        <v>0.99509999999999776</v>
      </c>
      <c r="E256" s="20">
        <v>25.3</v>
      </c>
      <c r="F256" s="14">
        <v>0.97067000000000003</v>
      </c>
      <c r="G256" s="10">
        <f t="shared" si="14"/>
        <v>-9.999999999999109E-4</v>
      </c>
      <c r="H256" s="11">
        <f t="shared" si="15"/>
        <v>0.9959699999999978</v>
      </c>
    </row>
    <row r="257" spans="1:8" ht="13.8" thickBot="1">
      <c r="A257" s="20">
        <v>25.4</v>
      </c>
      <c r="B257" s="14">
        <v>0.96970000000000001</v>
      </c>
      <c r="C257" s="10">
        <f t="shared" si="12"/>
        <v>-1.1000000000005292E-3</v>
      </c>
      <c r="D257" s="11">
        <f t="shared" si="13"/>
        <v>0.9976400000000134</v>
      </c>
      <c r="E257" s="20">
        <v>25.4</v>
      </c>
      <c r="F257" s="14">
        <v>0.97057000000000004</v>
      </c>
      <c r="G257" s="10">
        <f t="shared" si="14"/>
        <v>-1.1000000000005292E-3</v>
      </c>
      <c r="H257" s="11">
        <f t="shared" si="15"/>
        <v>0.99851000000001344</v>
      </c>
    </row>
    <row r="258" spans="1:8" ht="13.8" thickBot="1">
      <c r="A258" s="20">
        <v>25.5</v>
      </c>
      <c r="B258" s="14">
        <v>0.96958999999999995</v>
      </c>
      <c r="C258" s="10">
        <f t="shared" si="12"/>
        <v>-9.9999999999987555E-4</v>
      </c>
      <c r="D258" s="11">
        <f t="shared" si="13"/>
        <v>0.99508999999999681</v>
      </c>
      <c r="E258" s="20">
        <v>25.5</v>
      </c>
      <c r="F258" s="14">
        <v>0.97045999999999999</v>
      </c>
      <c r="G258" s="10">
        <f t="shared" si="14"/>
        <v>-9.9999999999987555E-4</v>
      </c>
      <c r="H258" s="11">
        <f t="shared" si="15"/>
        <v>0.99595999999999685</v>
      </c>
    </row>
    <row r="259" spans="1:8" ht="13.8" thickBot="1">
      <c r="A259" s="20">
        <v>25.6</v>
      </c>
      <c r="B259" s="14">
        <v>0.96948999999999996</v>
      </c>
      <c r="C259" s="10">
        <f t="shared" si="12"/>
        <v>-1.099999999999458E-3</v>
      </c>
      <c r="D259" s="11">
        <f t="shared" si="13"/>
        <v>0.99764999999998616</v>
      </c>
      <c r="E259" s="20">
        <v>25.6</v>
      </c>
      <c r="F259" s="14">
        <v>0.97036</v>
      </c>
      <c r="G259" s="10">
        <f t="shared" si="14"/>
        <v>-1.1000000000005682E-3</v>
      </c>
      <c r="H259" s="11">
        <f t="shared" si="15"/>
        <v>0.99852000000001451</v>
      </c>
    </row>
    <row r="260" spans="1:8" ht="13.8" thickBot="1">
      <c r="A260" s="20">
        <v>25.7</v>
      </c>
      <c r="B260" s="14">
        <v>0.96938000000000002</v>
      </c>
      <c r="C260" s="10">
        <f t="shared" ref="C260:C323" si="16">SLOPE(B260:B261,A260:A261)</f>
        <v>-9.9999999999987555E-4</v>
      </c>
      <c r="D260" s="11">
        <f t="shared" ref="D260:D323" si="17">INTERCEPT(B260:B261,A260:A261)</f>
        <v>0.99507999999999686</v>
      </c>
      <c r="E260" s="20">
        <v>25.7</v>
      </c>
      <c r="F260" s="14">
        <v>0.97024999999999995</v>
      </c>
      <c r="G260" s="10">
        <f t="shared" ref="G260:G323" si="18">SLOPE(F260:F261,E260:E261)</f>
        <v>-9.9999999999987555E-4</v>
      </c>
      <c r="H260" s="11">
        <f t="shared" ref="H260:H323" si="19">INTERCEPT(F260:F261,E260:E261)</f>
        <v>0.99594999999999678</v>
      </c>
    </row>
    <row r="261" spans="1:8" ht="13.8" thickBot="1">
      <c r="A261" s="20">
        <v>25.8</v>
      </c>
      <c r="B261" s="14">
        <v>0.96928000000000003</v>
      </c>
      <c r="C261" s="10">
        <f t="shared" si="16"/>
        <v>-1.1000000000005682E-3</v>
      </c>
      <c r="D261" s="11">
        <f t="shared" si="17"/>
        <v>0.99766000000001465</v>
      </c>
      <c r="E261" s="20">
        <v>25.8</v>
      </c>
      <c r="F261" s="14">
        <v>0.97014999999999996</v>
      </c>
      <c r="G261" s="10">
        <f t="shared" si="18"/>
        <v>-1.099999999999458E-3</v>
      </c>
      <c r="H261" s="11">
        <f t="shared" si="19"/>
        <v>0.99852999999998593</v>
      </c>
    </row>
    <row r="262" spans="1:8" ht="13.8" thickBot="1">
      <c r="A262" s="20">
        <v>25.9</v>
      </c>
      <c r="B262" s="14">
        <v>0.96916999999999998</v>
      </c>
      <c r="C262" s="10">
        <f t="shared" si="16"/>
        <v>-9.9999999999987555E-4</v>
      </c>
      <c r="D262" s="11">
        <f t="shared" si="17"/>
        <v>0.99506999999999679</v>
      </c>
      <c r="E262" s="20">
        <v>25.9</v>
      </c>
      <c r="F262" s="14">
        <v>0.97004000000000001</v>
      </c>
      <c r="G262" s="10">
        <f t="shared" si="18"/>
        <v>-9.9999999999987555E-4</v>
      </c>
      <c r="H262" s="11">
        <f t="shared" si="19"/>
        <v>0.99593999999999683</v>
      </c>
    </row>
    <row r="263" spans="1:8" ht="13.8" thickBot="1">
      <c r="A263" s="22">
        <v>26</v>
      </c>
      <c r="B263" s="17">
        <v>0.96906999999999999</v>
      </c>
      <c r="C263" s="10">
        <f t="shared" si="16"/>
        <v>-1.0999999999994192E-3</v>
      </c>
      <c r="D263" s="11">
        <f t="shared" si="17"/>
        <v>0.99766999999998485</v>
      </c>
      <c r="E263" s="22">
        <v>26</v>
      </c>
      <c r="F263" s="17">
        <v>0.96994000000000002</v>
      </c>
      <c r="G263" s="10">
        <f t="shared" si="18"/>
        <v>-1.1000000000005292E-3</v>
      </c>
      <c r="H263" s="11">
        <f t="shared" si="19"/>
        <v>0.99854000000001375</v>
      </c>
    </row>
    <row r="264" spans="1:8" ht="13.8" thickBot="1">
      <c r="A264" s="20">
        <v>26.1</v>
      </c>
      <c r="B264" s="14">
        <v>0.96896000000000004</v>
      </c>
      <c r="C264" s="10">
        <f t="shared" si="16"/>
        <v>-1.1000000000005682E-3</v>
      </c>
      <c r="D264" s="11">
        <f t="shared" si="17"/>
        <v>0.99767000000001482</v>
      </c>
      <c r="E264" s="20">
        <v>26.1</v>
      </c>
      <c r="F264" s="14">
        <v>0.96982999999999997</v>
      </c>
      <c r="G264" s="10">
        <f t="shared" si="18"/>
        <v>-1.099999999999458E-3</v>
      </c>
      <c r="H264" s="11">
        <f t="shared" si="19"/>
        <v>0.99853999999998588</v>
      </c>
    </row>
    <row r="265" spans="1:8" ht="13.8" thickBot="1">
      <c r="A265" s="20">
        <v>26.2</v>
      </c>
      <c r="B265" s="14">
        <v>0.96884999999999999</v>
      </c>
      <c r="C265" s="10">
        <f t="shared" si="16"/>
        <v>-9.9999999999987555E-4</v>
      </c>
      <c r="D265" s="11">
        <f t="shared" si="17"/>
        <v>0.99504999999999677</v>
      </c>
      <c r="E265" s="20">
        <v>26.2</v>
      </c>
      <c r="F265" s="14">
        <v>0.96972000000000003</v>
      </c>
      <c r="G265" s="10">
        <f t="shared" si="18"/>
        <v>-9.9999999999987555E-4</v>
      </c>
      <c r="H265" s="11">
        <f t="shared" si="19"/>
        <v>0.99591999999999681</v>
      </c>
    </row>
    <row r="266" spans="1:8" ht="13.8" thickBot="1">
      <c r="A266" s="20">
        <v>26.3</v>
      </c>
      <c r="B266" s="14">
        <v>0.96875</v>
      </c>
      <c r="C266" s="10">
        <f t="shared" si="16"/>
        <v>-1.1000000000005682E-3</v>
      </c>
      <c r="D266" s="11">
        <f t="shared" si="17"/>
        <v>0.997680000000015</v>
      </c>
      <c r="E266" s="20">
        <v>26.3</v>
      </c>
      <c r="F266" s="14">
        <v>0.96962000000000004</v>
      </c>
      <c r="G266" s="10">
        <f t="shared" si="18"/>
        <v>-1.1000000000005682E-3</v>
      </c>
      <c r="H266" s="11">
        <f t="shared" si="19"/>
        <v>0.99855000000001504</v>
      </c>
    </row>
    <row r="267" spans="1:8" ht="13.8" thickBot="1">
      <c r="A267" s="20">
        <v>26.4</v>
      </c>
      <c r="B267" s="14">
        <v>0.96863999999999995</v>
      </c>
      <c r="C267" s="10">
        <f t="shared" si="16"/>
        <v>-9.9999999999987555E-4</v>
      </c>
      <c r="D267" s="11">
        <f t="shared" si="17"/>
        <v>0.9950399999999967</v>
      </c>
      <c r="E267" s="20">
        <v>26.4</v>
      </c>
      <c r="F267" s="14">
        <v>0.96950999999999998</v>
      </c>
      <c r="G267" s="10">
        <f t="shared" si="18"/>
        <v>-9.9999999999987555E-4</v>
      </c>
      <c r="H267" s="11">
        <f t="shared" si="19"/>
        <v>0.99590999999999674</v>
      </c>
    </row>
    <row r="268" spans="1:8" ht="13.8" thickBot="1">
      <c r="A268" s="20">
        <v>26.5</v>
      </c>
      <c r="B268" s="14">
        <v>0.96853999999999996</v>
      </c>
      <c r="C268" s="10">
        <f t="shared" si="16"/>
        <v>-1.0999999999994192E-3</v>
      </c>
      <c r="D268" s="11">
        <f t="shared" si="17"/>
        <v>0.99768999999998464</v>
      </c>
      <c r="E268" s="20">
        <v>26.5</v>
      </c>
      <c r="F268" s="14">
        <v>0.96940999999999999</v>
      </c>
      <c r="G268" s="10">
        <f t="shared" si="18"/>
        <v>-1.0999999999994192E-3</v>
      </c>
      <c r="H268" s="11">
        <f t="shared" si="19"/>
        <v>0.99855999999998457</v>
      </c>
    </row>
    <row r="269" spans="1:8" ht="13.8" thickBot="1">
      <c r="A269" s="20">
        <v>26.6</v>
      </c>
      <c r="B269" s="14">
        <v>0.96843000000000001</v>
      </c>
      <c r="C269" s="10">
        <f t="shared" si="16"/>
        <v>-1.1000000000005682E-3</v>
      </c>
      <c r="D269" s="11">
        <f t="shared" si="17"/>
        <v>0.99769000000001518</v>
      </c>
      <c r="E269" s="20">
        <v>26.6</v>
      </c>
      <c r="F269" s="14">
        <v>0.96930000000000005</v>
      </c>
      <c r="G269" s="10">
        <f t="shared" si="18"/>
        <v>-1.1000000000005682E-3</v>
      </c>
      <c r="H269" s="11">
        <f t="shared" si="19"/>
        <v>0.99856000000001521</v>
      </c>
    </row>
    <row r="270" spans="1:8" ht="13.8" thickBot="1">
      <c r="A270" s="20">
        <v>26.7</v>
      </c>
      <c r="B270" s="14">
        <v>0.96831999999999996</v>
      </c>
      <c r="C270" s="10">
        <f t="shared" si="16"/>
        <v>-1.0999999999994192E-3</v>
      </c>
      <c r="D270" s="11">
        <f t="shared" si="17"/>
        <v>0.99768999999998442</v>
      </c>
      <c r="E270" s="20">
        <v>26.7</v>
      </c>
      <c r="F270" s="14">
        <v>0.96919</v>
      </c>
      <c r="G270" s="10">
        <f t="shared" si="18"/>
        <v>-1.0999999999994192E-3</v>
      </c>
      <c r="H270" s="11">
        <f t="shared" si="19"/>
        <v>0.99855999999998457</v>
      </c>
    </row>
    <row r="271" spans="1:8" ht="13.8" thickBot="1">
      <c r="A271" s="20">
        <v>26.8</v>
      </c>
      <c r="B271" s="14">
        <v>0.96821000000000002</v>
      </c>
      <c r="C271" s="10">
        <f t="shared" si="16"/>
        <v>-9.999999999999109E-4</v>
      </c>
      <c r="D271" s="11">
        <f t="shared" si="17"/>
        <v>0.99500999999999762</v>
      </c>
      <c r="E271" s="20">
        <v>26.8</v>
      </c>
      <c r="F271" s="14">
        <v>0.96908000000000005</v>
      </c>
      <c r="G271" s="10">
        <f t="shared" si="18"/>
        <v>-1.0000000000010211E-3</v>
      </c>
      <c r="H271" s="11">
        <f t="shared" si="19"/>
        <v>0.99588000000002752</v>
      </c>
    </row>
    <row r="272" spans="1:8" ht="13.8" thickBot="1">
      <c r="A272" s="20">
        <v>26.9</v>
      </c>
      <c r="B272" s="14">
        <v>0.96811000000000003</v>
      </c>
      <c r="C272" s="10">
        <f t="shared" si="16"/>
        <v>-1.1000000000005292E-3</v>
      </c>
      <c r="D272" s="11">
        <f t="shared" si="17"/>
        <v>0.99770000000001424</v>
      </c>
      <c r="E272" s="20">
        <v>26.9</v>
      </c>
      <c r="F272" s="14">
        <v>0.96897999999999995</v>
      </c>
      <c r="G272" s="10">
        <f t="shared" si="18"/>
        <v>-1.0999999999994192E-3</v>
      </c>
      <c r="H272" s="11">
        <f t="shared" si="19"/>
        <v>0.99856999999998441</v>
      </c>
    </row>
    <row r="273" spans="1:8" ht="13.8" thickBot="1">
      <c r="A273" s="22">
        <v>27</v>
      </c>
      <c r="B273" s="17">
        <v>0.96799999999999997</v>
      </c>
      <c r="C273" s="10">
        <f t="shared" si="16"/>
        <v>-1.0999999999994192E-3</v>
      </c>
      <c r="D273" s="11">
        <f t="shared" si="17"/>
        <v>0.99769999999998438</v>
      </c>
      <c r="E273" s="22">
        <v>27</v>
      </c>
      <c r="F273" s="17">
        <v>0.96887000000000001</v>
      </c>
      <c r="G273" s="10">
        <f t="shared" si="18"/>
        <v>-1.1000000000005292E-3</v>
      </c>
      <c r="H273" s="11">
        <f t="shared" si="19"/>
        <v>0.99857000000001428</v>
      </c>
    </row>
    <row r="274" spans="1:8" ht="13.8" thickBot="1">
      <c r="A274" s="20">
        <v>27.1</v>
      </c>
      <c r="B274" s="14">
        <v>0.96789000000000003</v>
      </c>
      <c r="C274" s="10">
        <f t="shared" si="16"/>
        <v>-1.1000000000005682E-3</v>
      </c>
      <c r="D274" s="11">
        <f t="shared" si="17"/>
        <v>0.99770000000001546</v>
      </c>
      <c r="E274" s="20">
        <v>27.1</v>
      </c>
      <c r="F274" s="14">
        <v>0.96875999999999995</v>
      </c>
      <c r="G274" s="10">
        <f t="shared" si="18"/>
        <v>-1.099999999999458E-3</v>
      </c>
      <c r="H274" s="11">
        <f t="shared" si="19"/>
        <v>0.99856999999998519</v>
      </c>
    </row>
    <row r="275" spans="1:8" ht="13.8" thickBot="1">
      <c r="A275" s="20">
        <v>27.2</v>
      </c>
      <c r="B275" s="14">
        <v>0.96777999999999997</v>
      </c>
      <c r="C275" s="10">
        <f t="shared" si="16"/>
        <v>-1.0999999999994192E-3</v>
      </c>
      <c r="D275" s="11">
        <f t="shared" si="17"/>
        <v>0.99769999999998416</v>
      </c>
      <c r="E275" s="20">
        <v>27.2</v>
      </c>
      <c r="F275" s="14">
        <v>0.96865000000000001</v>
      </c>
      <c r="G275" s="10">
        <f t="shared" si="18"/>
        <v>-1.1000000000005292E-3</v>
      </c>
      <c r="H275" s="11">
        <f t="shared" si="19"/>
        <v>0.99857000000001439</v>
      </c>
    </row>
    <row r="276" spans="1:8" ht="13.8" thickBot="1">
      <c r="A276" s="20">
        <v>27.3</v>
      </c>
      <c r="B276" s="14">
        <v>0.96767000000000003</v>
      </c>
      <c r="C276" s="10">
        <f t="shared" si="16"/>
        <v>-9.999999999999109E-4</v>
      </c>
      <c r="D276" s="11">
        <f t="shared" si="17"/>
        <v>0.99496999999999758</v>
      </c>
      <c r="E276" s="20">
        <v>27.3</v>
      </c>
      <c r="F276" s="14">
        <v>0.96853999999999996</v>
      </c>
      <c r="G276" s="10">
        <f t="shared" si="18"/>
        <v>-9.999999999999109E-4</v>
      </c>
      <c r="H276" s="11">
        <f t="shared" si="19"/>
        <v>0.9958399999999975</v>
      </c>
    </row>
    <row r="277" spans="1:8" ht="13.8" thickBot="1">
      <c r="A277" s="20">
        <v>27.4</v>
      </c>
      <c r="B277" s="14">
        <v>0.96757000000000004</v>
      </c>
      <c r="C277" s="10">
        <f t="shared" si="16"/>
        <v>-1.1000000000005292E-3</v>
      </c>
      <c r="D277" s="11">
        <f t="shared" si="17"/>
        <v>0.99771000000001453</v>
      </c>
      <c r="E277" s="20">
        <v>27.4</v>
      </c>
      <c r="F277" s="14">
        <v>0.96843999999999997</v>
      </c>
      <c r="G277" s="10">
        <f t="shared" si="18"/>
        <v>-1.0999999999994192E-3</v>
      </c>
      <c r="H277" s="11">
        <f t="shared" si="19"/>
        <v>0.99857999999998415</v>
      </c>
    </row>
    <row r="278" spans="1:8" ht="13.8" thickBot="1">
      <c r="A278" s="20">
        <v>27.5</v>
      </c>
      <c r="B278" s="14">
        <v>0.96745999999999999</v>
      </c>
      <c r="C278" s="10">
        <f t="shared" si="16"/>
        <v>-1.0999999999994192E-3</v>
      </c>
      <c r="D278" s="11">
        <f t="shared" si="17"/>
        <v>0.99770999999998411</v>
      </c>
      <c r="E278" s="20">
        <v>27.5</v>
      </c>
      <c r="F278" s="14">
        <v>0.96833000000000002</v>
      </c>
      <c r="G278" s="10">
        <f t="shared" si="18"/>
        <v>-1.1000000000005292E-3</v>
      </c>
      <c r="H278" s="11">
        <f t="shared" si="19"/>
        <v>0.99858000000001457</v>
      </c>
    </row>
    <row r="279" spans="1:8" ht="13.8" thickBot="1">
      <c r="A279" s="20">
        <v>27.6</v>
      </c>
      <c r="B279" s="14">
        <v>0.96735000000000004</v>
      </c>
      <c r="C279" s="10">
        <f t="shared" si="16"/>
        <v>-1.1000000000005682E-3</v>
      </c>
      <c r="D279" s="11">
        <f t="shared" si="17"/>
        <v>0.99771000000001575</v>
      </c>
      <c r="E279" s="20">
        <v>27.6</v>
      </c>
      <c r="F279" s="14">
        <v>0.96821999999999997</v>
      </c>
      <c r="G279" s="10">
        <f t="shared" si="18"/>
        <v>-1.099999999999458E-3</v>
      </c>
      <c r="H279" s="11">
        <f t="shared" si="19"/>
        <v>0.99857999999998492</v>
      </c>
    </row>
    <row r="280" spans="1:8" ht="13.8" thickBot="1">
      <c r="A280" s="20">
        <v>27.7</v>
      </c>
      <c r="B280" s="14">
        <v>0.96723999999999999</v>
      </c>
      <c r="C280" s="10">
        <f t="shared" si="16"/>
        <v>-1.0999999999994192E-3</v>
      </c>
      <c r="D280" s="11">
        <f t="shared" si="17"/>
        <v>0.99770999999998389</v>
      </c>
      <c r="E280" s="20">
        <v>27.7</v>
      </c>
      <c r="F280" s="14">
        <v>0.96811000000000003</v>
      </c>
      <c r="G280" s="10">
        <f t="shared" si="18"/>
        <v>-1.1000000000005292E-3</v>
      </c>
      <c r="H280" s="11">
        <f t="shared" si="19"/>
        <v>0.99858000000001468</v>
      </c>
    </row>
    <row r="281" spans="1:8" ht="13.8" thickBot="1">
      <c r="A281" s="20">
        <v>27.8</v>
      </c>
      <c r="B281" s="14">
        <v>0.96713000000000005</v>
      </c>
      <c r="C281" s="10">
        <f t="shared" si="16"/>
        <v>-1.1000000000005682E-3</v>
      </c>
      <c r="D281" s="11">
        <f t="shared" si="17"/>
        <v>0.99771000000001586</v>
      </c>
      <c r="E281" s="20">
        <v>27.8</v>
      </c>
      <c r="F281" s="14">
        <v>0.96799999999999997</v>
      </c>
      <c r="G281" s="10">
        <f t="shared" si="18"/>
        <v>-1.099999999999458E-3</v>
      </c>
      <c r="H281" s="11">
        <f t="shared" si="19"/>
        <v>0.99857999999998492</v>
      </c>
    </row>
    <row r="282" spans="1:8" ht="13.8" thickBot="1">
      <c r="A282" s="20">
        <v>27.9</v>
      </c>
      <c r="B282" s="14">
        <v>0.96701999999999999</v>
      </c>
      <c r="C282" s="10">
        <f t="shared" si="16"/>
        <v>-1.0999999999994192E-3</v>
      </c>
      <c r="D282" s="11">
        <f t="shared" si="17"/>
        <v>0.99770999999998389</v>
      </c>
      <c r="E282" s="20">
        <v>27.9</v>
      </c>
      <c r="F282" s="14">
        <v>0.96789000000000003</v>
      </c>
      <c r="G282" s="10">
        <f t="shared" si="18"/>
        <v>-1.1000000000005292E-3</v>
      </c>
      <c r="H282" s="11">
        <f t="shared" si="19"/>
        <v>0.99858000000001479</v>
      </c>
    </row>
    <row r="283" spans="1:8" ht="13.8" thickBot="1">
      <c r="A283" s="22">
        <v>28</v>
      </c>
      <c r="B283" s="17">
        <v>0.96691000000000005</v>
      </c>
      <c r="C283" s="10">
        <f t="shared" si="16"/>
        <v>-1.1000000000005292E-3</v>
      </c>
      <c r="D283" s="11">
        <f t="shared" si="17"/>
        <v>0.99771000000001486</v>
      </c>
      <c r="E283" s="22">
        <v>28</v>
      </c>
      <c r="F283" s="17">
        <v>0.96777999999999997</v>
      </c>
      <c r="G283" s="10">
        <f t="shared" si="18"/>
        <v>-1.0999999999994192E-3</v>
      </c>
      <c r="H283" s="11">
        <f t="shared" si="19"/>
        <v>0.9985799999999837</v>
      </c>
    </row>
    <row r="284" spans="1:8" ht="13.8" thickBot="1">
      <c r="A284" s="20">
        <v>28.1</v>
      </c>
      <c r="B284" s="14">
        <v>0.96679999999999999</v>
      </c>
      <c r="C284" s="10">
        <f t="shared" si="16"/>
        <v>-1.099999999999458E-3</v>
      </c>
      <c r="D284" s="11">
        <f t="shared" si="17"/>
        <v>0.99770999999998466</v>
      </c>
      <c r="E284" s="20">
        <v>28.1</v>
      </c>
      <c r="F284" s="14">
        <v>0.96767000000000003</v>
      </c>
      <c r="G284" s="10">
        <f t="shared" si="18"/>
        <v>-1.1000000000005682E-3</v>
      </c>
      <c r="H284" s="11">
        <f t="shared" si="19"/>
        <v>0.99858000000001601</v>
      </c>
    </row>
    <row r="285" spans="1:8" ht="13.8" thickBot="1">
      <c r="A285" s="20">
        <v>28.2</v>
      </c>
      <c r="B285" s="14">
        <v>0.96669000000000005</v>
      </c>
      <c r="C285" s="10">
        <f t="shared" si="16"/>
        <v>-1.1000000000005292E-3</v>
      </c>
      <c r="D285" s="11">
        <f t="shared" si="17"/>
        <v>0.99771000000001497</v>
      </c>
      <c r="E285" s="20">
        <v>28.2</v>
      </c>
      <c r="F285" s="14">
        <v>0.96755999999999998</v>
      </c>
      <c r="G285" s="10">
        <f t="shared" si="18"/>
        <v>-1.0999999999994192E-3</v>
      </c>
      <c r="H285" s="11">
        <f t="shared" si="19"/>
        <v>0.9985799999999837</v>
      </c>
    </row>
    <row r="286" spans="1:8" ht="13.8" thickBot="1">
      <c r="A286" s="20">
        <v>28.3</v>
      </c>
      <c r="B286" s="14">
        <v>0.96657999999999999</v>
      </c>
      <c r="C286" s="10">
        <f t="shared" si="16"/>
        <v>-1.099999999999458E-3</v>
      </c>
      <c r="D286" s="11">
        <f t="shared" si="17"/>
        <v>0.99770999999998466</v>
      </c>
      <c r="E286" s="20">
        <v>28.3</v>
      </c>
      <c r="F286" s="14">
        <v>0.96745000000000003</v>
      </c>
      <c r="G286" s="10">
        <f t="shared" si="18"/>
        <v>-1.1000000000005682E-3</v>
      </c>
      <c r="H286" s="11">
        <f t="shared" si="19"/>
        <v>0.99858000000001612</v>
      </c>
    </row>
    <row r="287" spans="1:8" ht="13.8" thickBot="1">
      <c r="A287" s="20">
        <v>28.4</v>
      </c>
      <c r="B287" s="14">
        <v>0.96647000000000005</v>
      </c>
      <c r="C287" s="10">
        <f t="shared" si="16"/>
        <v>-1.2000000000000728E-3</v>
      </c>
      <c r="D287" s="11">
        <f t="shared" si="17"/>
        <v>1.000550000000002</v>
      </c>
      <c r="E287" s="20">
        <v>28.4</v>
      </c>
      <c r="F287" s="14">
        <v>0.96733999999999998</v>
      </c>
      <c r="G287" s="10">
        <f t="shared" si="18"/>
        <v>-1.2000000000000728E-3</v>
      </c>
      <c r="H287" s="11">
        <f t="shared" si="19"/>
        <v>1.001420000000002</v>
      </c>
    </row>
    <row r="288" spans="1:8" ht="13.8" thickBot="1">
      <c r="A288" s="20">
        <v>28.5</v>
      </c>
      <c r="B288" s="14">
        <v>0.96635000000000004</v>
      </c>
      <c r="C288" s="10">
        <f t="shared" si="16"/>
        <v>-1.1000000000005292E-3</v>
      </c>
      <c r="D288" s="11">
        <f t="shared" si="17"/>
        <v>0.99770000000001513</v>
      </c>
      <c r="E288" s="20">
        <v>28.5</v>
      </c>
      <c r="F288" s="14">
        <v>0.96721999999999997</v>
      </c>
      <c r="G288" s="10">
        <f t="shared" si="18"/>
        <v>-1.0999999999994192E-3</v>
      </c>
      <c r="H288" s="11">
        <f t="shared" si="19"/>
        <v>0.99856999999998353</v>
      </c>
    </row>
    <row r="289" spans="1:8" ht="13.8" thickBot="1">
      <c r="A289" s="20">
        <v>28.6</v>
      </c>
      <c r="B289" s="14">
        <v>0.96623999999999999</v>
      </c>
      <c r="C289" s="10">
        <f t="shared" si="16"/>
        <v>-1.099999999999458E-3</v>
      </c>
      <c r="D289" s="11">
        <f t="shared" si="17"/>
        <v>0.99769999999998449</v>
      </c>
      <c r="E289" s="20">
        <v>28.6</v>
      </c>
      <c r="F289" s="14">
        <v>0.96711000000000003</v>
      </c>
      <c r="G289" s="10">
        <f t="shared" si="18"/>
        <v>-1.1000000000005682E-3</v>
      </c>
      <c r="H289" s="11">
        <f t="shared" si="19"/>
        <v>0.99857000000001628</v>
      </c>
    </row>
    <row r="290" spans="1:8" ht="13.8" thickBot="1">
      <c r="A290" s="20">
        <v>28.7</v>
      </c>
      <c r="B290" s="14">
        <v>0.96613000000000004</v>
      </c>
      <c r="C290" s="10">
        <f t="shared" si="16"/>
        <v>-1.1000000000005292E-3</v>
      </c>
      <c r="D290" s="11">
        <f t="shared" si="17"/>
        <v>0.99770000000001524</v>
      </c>
      <c r="E290" s="20">
        <v>28.7</v>
      </c>
      <c r="F290" s="14">
        <v>0.96699999999999997</v>
      </c>
      <c r="G290" s="10">
        <f t="shared" si="18"/>
        <v>-1.0999999999994192E-3</v>
      </c>
      <c r="H290" s="11">
        <f t="shared" si="19"/>
        <v>0.99856999999998319</v>
      </c>
    </row>
    <row r="291" spans="1:8" ht="13.8" thickBot="1">
      <c r="A291" s="20">
        <v>28.8</v>
      </c>
      <c r="B291" s="14">
        <v>0.96601999999999999</v>
      </c>
      <c r="C291" s="10">
        <f t="shared" si="16"/>
        <v>-1.099999999999458E-3</v>
      </c>
      <c r="D291" s="11">
        <f t="shared" si="17"/>
        <v>0.99769999999998438</v>
      </c>
      <c r="E291" s="20">
        <v>28.8</v>
      </c>
      <c r="F291" s="14">
        <v>0.96689000000000003</v>
      </c>
      <c r="G291" s="10">
        <f t="shared" si="18"/>
        <v>-1.1000000000005682E-3</v>
      </c>
      <c r="H291" s="11">
        <f t="shared" si="19"/>
        <v>0.99857000000001639</v>
      </c>
    </row>
    <row r="292" spans="1:8" ht="13.8" thickBot="1">
      <c r="A292" s="20">
        <v>28.9</v>
      </c>
      <c r="B292" s="14">
        <v>0.96591000000000005</v>
      </c>
      <c r="C292" s="10">
        <f t="shared" si="16"/>
        <v>-1.2000000000000728E-3</v>
      </c>
      <c r="D292" s="11">
        <f t="shared" si="17"/>
        <v>1.0005900000000021</v>
      </c>
      <c r="E292" s="20">
        <v>28.9</v>
      </c>
      <c r="F292" s="14">
        <v>0.96677999999999997</v>
      </c>
      <c r="G292" s="10">
        <f t="shared" si="18"/>
        <v>-1.2000000000000728E-3</v>
      </c>
      <c r="H292" s="11">
        <f t="shared" si="19"/>
        <v>1.001460000000002</v>
      </c>
    </row>
    <row r="293" spans="1:8" ht="13.8" thickBot="1">
      <c r="A293" s="22">
        <v>29</v>
      </c>
      <c r="B293" s="17">
        <v>0.96579000000000004</v>
      </c>
      <c r="C293" s="10">
        <f t="shared" si="16"/>
        <v>-1.1000000000005292E-3</v>
      </c>
      <c r="D293" s="11">
        <f t="shared" si="17"/>
        <v>0.9976900000000154</v>
      </c>
      <c r="E293" s="22">
        <v>29</v>
      </c>
      <c r="F293" s="17">
        <v>0.96665999999999996</v>
      </c>
      <c r="G293" s="10">
        <f t="shared" si="18"/>
        <v>-1.0999999999994192E-3</v>
      </c>
      <c r="H293" s="11">
        <f t="shared" si="19"/>
        <v>0.99855999999998302</v>
      </c>
    </row>
    <row r="294" spans="1:8" ht="13.8" thickBot="1">
      <c r="A294" s="20">
        <v>29.1</v>
      </c>
      <c r="B294" s="14">
        <v>0.96567999999999998</v>
      </c>
      <c r="C294" s="10">
        <f t="shared" si="16"/>
        <v>-1.099999999999458E-3</v>
      </c>
      <c r="D294" s="11">
        <f t="shared" si="17"/>
        <v>0.9976899999999842</v>
      </c>
      <c r="E294" s="20">
        <v>29.1</v>
      </c>
      <c r="F294" s="14">
        <v>0.96655000000000002</v>
      </c>
      <c r="G294" s="10">
        <f t="shared" si="18"/>
        <v>-1.1000000000005682E-3</v>
      </c>
      <c r="H294" s="11">
        <f t="shared" si="19"/>
        <v>0.99856000000001655</v>
      </c>
    </row>
    <row r="295" spans="1:8" ht="13.8" thickBot="1">
      <c r="A295" s="20">
        <v>29.2</v>
      </c>
      <c r="B295" s="14">
        <v>0.96557000000000004</v>
      </c>
      <c r="C295" s="10">
        <f t="shared" si="16"/>
        <v>-1.2000000000000728E-3</v>
      </c>
      <c r="D295" s="11">
        <f t="shared" si="17"/>
        <v>1.0006100000000022</v>
      </c>
      <c r="E295" s="20">
        <v>29.2</v>
      </c>
      <c r="F295" s="14">
        <v>0.96643999999999997</v>
      </c>
      <c r="G295" s="10">
        <f t="shared" si="18"/>
        <v>-1.2000000000000728E-3</v>
      </c>
      <c r="H295" s="11">
        <f t="shared" si="19"/>
        <v>1.0014800000000021</v>
      </c>
    </row>
    <row r="296" spans="1:8" ht="13.8" thickBot="1">
      <c r="A296" s="20">
        <v>29.3</v>
      </c>
      <c r="B296" s="14">
        <v>0.96545000000000003</v>
      </c>
      <c r="C296" s="10">
        <f t="shared" si="16"/>
        <v>-1.1000000000005682E-3</v>
      </c>
      <c r="D296" s="11">
        <f t="shared" si="17"/>
        <v>0.99768000000001666</v>
      </c>
      <c r="E296" s="20">
        <v>29.3</v>
      </c>
      <c r="F296" s="14">
        <v>0.96631999999999996</v>
      </c>
      <c r="G296" s="10">
        <f t="shared" si="18"/>
        <v>-1.099999999999458E-3</v>
      </c>
      <c r="H296" s="11">
        <f t="shared" si="19"/>
        <v>0.99854999999998406</v>
      </c>
    </row>
    <row r="297" spans="1:8" ht="13.8" thickBot="1">
      <c r="A297" s="20">
        <v>29.4</v>
      </c>
      <c r="B297" s="14">
        <v>0.96533999999999998</v>
      </c>
      <c r="C297" s="10">
        <f t="shared" si="16"/>
        <v>-1.2000000000000728E-3</v>
      </c>
      <c r="D297" s="11">
        <f t="shared" si="17"/>
        <v>1.0006200000000021</v>
      </c>
      <c r="E297" s="20">
        <v>29.4</v>
      </c>
      <c r="F297" s="14">
        <v>0.96621000000000001</v>
      </c>
      <c r="G297" s="10">
        <f t="shared" si="18"/>
        <v>-1.2000000000000728E-3</v>
      </c>
      <c r="H297" s="11">
        <f t="shared" si="19"/>
        <v>1.0014900000000022</v>
      </c>
    </row>
    <row r="298" spans="1:8" ht="13.8" thickBot="1">
      <c r="A298" s="20">
        <v>29.5</v>
      </c>
      <c r="B298" s="14">
        <v>0.96521999999999997</v>
      </c>
      <c r="C298" s="10">
        <f t="shared" si="16"/>
        <v>-1.0999999999994192E-3</v>
      </c>
      <c r="D298" s="11">
        <f t="shared" si="17"/>
        <v>0.99766999999998285</v>
      </c>
      <c r="E298" s="20">
        <v>29.5</v>
      </c>
      <c r="F298" s="14">
        <v>0.96609</v>
      </c>
      <c r="G298" s="10">
        <f t="shared" si="18"/>
        <v>-1.1000000000005292E-3</v>
      </c>
      <c r="H298" s="11">
        <f t="shared" si="19"/>
        <v>0.99854000000001564</v>
      </c>
    </row>
    <row r="299" spans="1:8" ht="13.8" thickBot="1">
      <c r="A299" s="20">
        <v>29.6</v>
      </c>
      <c r="B299" s="14">
        <v>0.96511000000000002</v>
      </c>
      <c r="C299" s="10">
        <f t="shared" si="16"/>
        <v>-1.2000000000001153E-3</v>
      </c>
      <c r="D299" s="11">
        <f t="shared" si="17"/>
        <v>1.0006300000000035</v>
      </c>
      <c r="E299" s="20">
        <v>29.6</v>
      </c>
      <c r="F299" s="14">
        <v>0.96597999999999995</v>
      </c>
      <c r="G299" s="10">
        <f t="shared" si="18"/>
        <v>-1.199999999999005E-3</v>
      </c>
      <c r="H299" s="11">
        <f t="shared" si="19"/>
        <v>1.0014999999999705</v>
      </c>
    </row>
    <row r="300" spans="1:8" ht="13.8" thickBot="1">
      <c r="A300" s="20">
        <v>29.7</v>
      </c>
      <c r="B300" s="14">
        <v>0.96499000000000001</v>
      </c>
      <c r="C300" s="10">
        <f t="shared" si="16"/>
        <v>-1.1000000000005292E-3</v>
      </c>
      <c r="D300" s="11">
        <f t="shared" si="17"/>
        <v>0.99766000000001576</v>
      </c>
      <c r="E300" s="20">
        <v>29.7</v>
      </c>
      <c r="F300" s="14">
        <v>0.96586000000000005</v>
      </c>
      <c r="G300" s="10">
        <f t="shared" si="18"/>
        <v>-1.1000000000005292E-3</v>
      </c>
      <c r="H300" s="11">
        <f t="shared" si="19"/>
        <v>0.99853000000001579</v>
      </c>
    </row>
    <row r="301" spans="1:8" ht="13.8" thickBot="1">
      <c r="A301" s="20">
        <v>29.8</v>
      </c>
      <c r="B301" s="14">
        <v>0.96487999999999996</v>
      </c>
      <c r="C301" s="10">
        <f t="shared" si="16"/>
        <v>-1.2000000000001153E-3</v>
      </c>
      <c r="D301" s="11">
        <f t="shared" si="17"/>
        <v>1.0006400000000035</v>
      </c>
      <c r="E301" s="20">
        <v>29.8</v>
      </c>
      <c r="F301" s="14">
        <v>0.96575</v>
      </c>
      <c r="G301" s="10">
        <f t="shared" si="18"/>
        <v>-1.2000000000001155E-3</v>
      </c>
      <c r="H301" s="11">
        <f t="shared" si="19"/>
        <v>1.0015100000000035</v>
      </c>
    </row>
    <row r="302" spans="1:8" ht="13.8" thickBot="1">
      <c r="A302" s="20">
        <v>29.9</v>
      </c>
      <c r="B302" s="14">
        <v>0.96475999999999995</v>
      </c>
      <c r="C302" s="10">
        <f t="shared" si="16"/>
        <v>-1.0999999999994192E-3</v>
      </c>
      <c r="D302" s="11">
        <f t="shared" si="17"/>
        <v>0.9976499999999825</v>
      </c>
      <c r="E302" s="20">
        <v>29.9</v>
      </c>
      <c r="F302" s="14">
        <v>0.96562999999999999</v>
      </c>
      <c r="G302" s="10">
        <f t="shared" si="18"/>
        <v>-1.0999999999994192E-3</v>
      </c>
      <c r="H302" s="11">
        <f t="shared" si="19"/>
        <v>0.99851999999998264</v>
      </c>
    </row>
    <row r="303" spans="1:8" ht="13.8" thickBot="1">
      <c r="A303" s="22">
        <v>30</v>
      </c>
      <c r="B303" s="17">
        <v>0.96465000000000001</v>
      </c>
      <c r="C303" s="10">
        <f t="shared" si="16"/>
        <v>-1.2000000000000728E-3</v>
      </c>
      <c r="D303" s="11">
        <f t="shared" si="17"/>
        <v>1.0006500000000023</v>
      </c>
      <c r="E303" s="22">
        <v>30</v>
      </c>
      <c r="F303" s="17">
        <v>0.96552000000000004</v>
      </c>
      <c r="G303" s="10">
        <f t="shared" si="18"/>
        <v>-1.2000000000000728E-3</v>
      </c>
      <c r="H303" s="11">
        <f t="shared" si="19"/>
        <v>1.0015200000000022</v>
      </c>
    </row>
    <row r="304" spans="1:8" ht="13.8" thickBot="1">
      <c r="A304" s="20">
        <v>30.1</v>
      </c>
      <c r="B304" s="14">
        <v>0.96453</v>
      </c>
      <c r="C304" s="10">
        <f t="shared" si="16"/>
        <v>-1.099999999999458E-3</v>
      </c>
      <c r="D304" s="11">
        <f t="shared" si="17"/>
        <v>0.99763999999998365</v>
      </c>
      <c r="E304" s="20">
        <v>30.1</v>
      </c>
      <c r="F304" s="14">
        <v>0.96540000000000004</v>
      </c>
      <c r="G304" s="10">
        <f t="shared" si="18"/>
        <v>-1.1000000000005682E-3</v>
      </c>
      <c r="H304" s="11">
        <f t="shared" si="19"/>
        <v>0.99851000000001711</v>
      </c>
    </row>
    <row r="305" spans="1:8" ht="13.8" thickBot="1">
      <c r="A305" s="20">
        <v>30.2</v>
      </c>
      <c r="B305" s="14">
        <v>0.96442000000000005</v>
      </c>
      <c r="C305" s="10">
        <f t="shared" si="16"/>
        <v>-1.2000000000000728E-3</v>
      </c>
      <c r="D305" s="11">
        <f t="shared" si="17"/>
        <v>1.0006600000000023</v>
      </c>
      <c r="E305" s="20">
        <v>30.2</v>
      </c>
      <c r="F305" s="14">
        <v>0.96528999999999998</v>
      </c>
      <c r="G305" s="10">
        <f t="shared" si="18"/>
        <v>-1.2000000000000728E-3</v>
      </c>
      <c r="H305" s="11">
        <f t="shared" si="19"/>
        <v>1.0015300000000023</v>
      </c>
    </row>
    <row r="306" spans="1:8" ht="13.8" thickBot="1">
      <c r="A306" s="20">
        <v>30.3</v>
      </c>
      <c r="B306" s="14">
        <v>0.96430000000000005</v>
      </c>
      <c r="C306" s="10">
        <f t="shared" si="16"/>
        <v>-1.2000000000001155E-3</v>
      </c>
      <c r="D306" s="11">
        <f t="shared" si="17"/>
        <v>1.0006600000000034</v>
      </c>
      <c r="E306" s="20">
        <v>30.3</v>
      </c>
      <c r="F306" s="14">
        <v>0.96516999999999997</v>
      </c>
      <c r="G306" s="10">
        <f t="shared" si="18"/>
        <v>-1.2000000000001155E-3</v>
      </c>
      <c r="H306" s="11">
        <f t="shared" si="19"/>
        <v>1.0015300000000034</v>
      </c>
    </row>
    <row r="307" spans="1:8" ht="13.8" thickBot="1">
      <c r="A307" s="20">
        <v>30.4</v>
      </c>
      <c r="B307" s="14">
        <v>0.96418000000000004</v>
      </c>
      <c r="C307" s="10">
        <f t="shared" si="16"/>
        <v>-1.2000000000000728E-3</v>
      </c>
      <c r="D307" s="11">
        <f t="shared" si="17"/>
        <v>1.0006600000000023</v>
      </c>
      <c r="E307" s="20">
        <v>30.4</v>
      </c>
      <c r="F307" s="14">
        <v>0.96504999999999996</v>
      </c>
      <c r="G307" s="10">
        <f t="shared" si="18"/>
        <v>-1.2000000000000728E-3</v>
      </c>
      <c r="H307" s="11">
        <f t="shared" si="19"/>
        <v>1.0015300000000023</v>
      </c>
    </row>
    <row r="308" spans="1:8" ht="13.8" thickBot="1">
      <c r="A308" s="20">
        <v>30.5</v>
      </c>
      <c r="B308" s="14">
        <v>0.96406000000000003</v>
      </c>
      <c r="C308" s="10">
        <f t="shared" si="16"/>
        <v>-1.1000000000005292E-3</v>
      </c>
      <c r="D308" s="11">
        <f t="shared" si="17"/>
        <v>0.99761000000001621</v>
      </c>
      <c r="E308" s="20">
        <v>30.5</v>
      </c>
      <c r="F308" s="14">
        <v>0.96492999999999995</v>
      </c>
      <c r="G308" s="10">
        <f t="shared" si="18"/>
        <v>-1.0999999999994192E-3</v>
      </c>
      <c r="H308" s="11">
        <f t="shared" si="19"/>
        <v>0.99847999999998216</v>
      </c>
    </row>
    <row r="309" spans="1:8" ht="13.8" thickBot="1">
      <c r="A309" s="20">
        <v>30.6</v>
      </c>
      <c r="B309" s="14">
        <v>0.96394999999999997</v>
      </c>
      <c r="C309" s="10">
        <f t="shared" si="16"/>
        <v>-1.2000000000001153E-3</v>
      </c>
      <c r="D309" s="11">
        <f t="shared" si="17"/>
        <v>1.0006700000000035</v>
      </c>
      <c r="E309" s="20">
        <v>30.6</v>
      </c>
      <c r="F309" s="14">
        <v>0.96482000000000001</v>
      </c>
      <c r="G309" s="10">
        <f t="shared" si="18"/>
        <v>-1.2000000000001155E-3</v>
      </c>
      <c r="H309" s="11">
        <f t="shared" si="19"/>
        <v>1.0015400000000036</v>
      </c>
    </row>
    <row r="310" spans="1:8" ht="13.8" thickBot="1">
      <c r="A310" s="20">
        <v>30.7</v>
      </c>
      <c r="B310" s="14">
        <v>0.96382999999999996</v>
      </c>
      <c r="C310" s="10">
        <f t="shared" si="16"/>
        <v>-1.2000000000000728E-3</v>
      </c>
      <c r="D310" s="11">
        <f t="shared" si="17"/>
        <v>1.0006700000000022</v>
      </c>
      <c r="E310" s="20">
        <v>30.7</v>
      </c>
      <c r="F310" s="14">
        <v>0.9647</v>
      </c>
      <c r="G310" s="10">
        <f t="shared" si="18"/>
        <v>-1.2000000000000728E-3</v>
      </c>
      <c r="H310" s="11">
        <f t="shared" si="19"/>
        <v>1.0015400000000021</v>
      </c>
    </row>
    <row r="311" spans="1:8" ht="13.8" thickBot="1">
      <c r="A311" s="20">
        <v>30.8</v>
      </c>
      <c r="B311" s="14">
        <v>0.96370999999999996</v>
      </c>
      <c r="C311" s="10">
        <f t="shared" si="16"/>
        <v>-1.2000000000001155E-3</v>
      </c>
      <c r="D311" s="11">
        <f t="shared" si="17"/>
        <v>1.0006700000000035</v>
      </c>
      <c r="E311" s="20">
        <v>30.8</v>
      </c>
      <c r="F311" s="14">
        <v>0.96457999999999999</v>
      </c>
      <c r="G311" s="10">
        <f t="shared" si="18"/>
        <v>-1.2000000000001153E-3</v>
      </c>
      <c r="H311" s="11">
        <f t="shared" si="19"/>
        <v>1.0015400000000036</v>
      </c>
    </row>
    <row r="312" spans="1:8" ht="13.8" thickBot="1">
      <c r="A312" s="20">
        <v>30.9</v>
      </c>
      <c r="B312" s="14">
        <v>0.96358999999999995</v>
      </c>
      <c r="C312" s="10">
        <f t="shared" si="16"/>
        <v>-1.1999999999989625E-3</v>
      </c>
      <c r="D312" s="11">
        <f t="shared" si="17"/>
        <v>1.000669999999968</v>
      </c>
      <c r="E312" s="20">
        <v>30.9</v>
      </c>
      <c r="F312" s="14">
        <v>0.96445999999999998</v>
      </c>
      <c r="G312" s="10">
        <f t="shared" si="18"/>
        <v>-1.2000000000000728E-3</v>
      </c>
      <c r="H312" s="11">
        <f t="shared" si="19"/>
        <v>1.0015400000000021</v>
      </c>
    </row>
    <row r="313" spans="1:8" ht="13.8" thickBot="1">
      <c r="A313" s="22">
        <v>31</v>
      </c>
      <c r="B313" s="17">
        <v>0.96347000000000005</v>
      </c>
      <c r="C313" s="10">
        <f t="shared" si="16"/>
        <v>-1.2000000000000728E-3</v>
      </c>
      <c r="D313" s="11">
        <f t="shared" si="17"/>
        <v>1.0006700000000024</v>
      </c>
      <c r="E313" s="22">
        <v>31</v>
      </c>
      <c r="F313" s="17">
        <v>0.96433999999999997</v>
      </c>
      <c r="G313" s="10">
        <f t="shared" si="18"/>
        <v>-1.2000000000000728E-3</v>
      </c>
      <c r="H313" s="11">
        <f t="shared" si="19"/>
        <v>1.0015400000000023</v>
      </c>
    </row>
    <row r="314" spans="1:8" ht="13.8" thickBot="1">
      <c r="A314" s="20">
        <v>31.1</v>
      </c>
      <c r="B314" s="14">
        <v>0.96335000000000004</v>
      </c>
      <c r="C314" s="10">
        <f t="shared" si="16"/>
        <v>-1.2000000000001153E-3</v>
      </c>
      <c r="D314" s="11">
        <f t="shared" si="17"/>
        <v>1.0006700000000035</v>
      </c>
      <c r="E314" s="20">
        <v>31.1</v>
      </c>
      <c r="F314" s="14">
        <v>0.96421999999999997</v>
      </c>
      <c r="G314" s="10">
        <f t="shared" si="18"/>
        <v>-1.2000000000001153E-3</v>
      </c>
      <c r="H314" s="11">
        <f t="shared" si="19"/>
        <v>1.0015400000000034</v>
      </c>
    </row>
    <row r="315" spans="1:8" ht="13.8" thickBot="1">
      <c r="A315" s="20">
        <v>31.2</v>
      </c>
      <c r="B315" s="14">
        <v>0.96323000000000003</v>
      </c>
      <c r="C315" s="10">
        <f t="shared" si="16"/>
        <v>-1.2000000000000728E-3</v>
      </c>
      <c r="D315" s="11">
        <f t="shared" si="17"/>
        <v>1.0006700000000024</v>
      </c>
      <c r="E315" s="20">
        <v>31.2</v>
      </c>
      <c r="F315" s="14">
        <v>0.96409999999999996</v>
      </c>
      <c r="G315" s="10">
        <f t="shared" si="18"/>
        <v>-1.2000000000000728E-3</v>
      </c>
      <c r="H315" s="11">
        <f t="shared" si="19"/>
        <v>1.0015400000000023</v>
      </c>
    </row>
    <row r="316" spans="1:8" ht="13.8" thickBot="1">
      <c r="A316" s="20">
        <v>31.3</v>
      </c>
      <c r="B316" s="14">
        <v>0.96311000000000002</v>
      </c>
      <c r="C316" s="10">
        <f t="shared" si="16"/>
        <v>-1.2000000000001155E-3</v>
      </c>
      <c r="D316" s="11">
        <f t="shared" si="17"/>
        <v>1.0006700000000035</v>
      </c>
      <c r="E316" s="20">
        <v>31.3</v>
      </c>
      <c r="F316" s="14">
        <v>0.96397999999999995</v>
      </c>
      <c r="G316" s="10">
        <f t="shared" si="18"/>
        <v>-1.199999999999005E-3</v>
      </c>
      <c r="H316" s="11">
        <f t="shared" si="19"/>
        <v>1.0015399999999688</v>
      </c>
    </row>
    <row r="317" spans="1:8" ht="13.8" thickBot="1">
      <c r="A317" s="20">
        <v>31.4</v>
      </c>
      <c r="B317" s="14">
        <v>0.96299000000000001</v>
      </c>
      <c r="C317" s="10">
        <f t="shared" si="16"/>
        <v>-1.2000000000000728E-3</v>
      </c>
      <c r="D317" s="11">
        <f t="shared" si="17"/>
        <v>1.0006700000000024</v>
      </c>
      <c r="E317" s="20">
        <v>31.4</v>
      </c>
      <c r="F317" s="14">
        <v>0.96386000000000005</v>
      </c>
      <c r="G317" s="10">
        <f t="shared" si="18"/>
        <v>-1.2000000000000728E-3</v>
      </c>
      <c r="H317" s="11">
        <f t="shared" si="19"/>
        <v>1.0015400000000023</v>
      </c>
    </row>
    <row r="318" spans="1:8" ht="13.8" thickBot="1">
      <c r="A318" s="20">
        <v>31.5</v>
      </c>
      <c r="B318" s="14">
        <v>0.96287</v>
      </c>
      <c r="C318" s="10">
        <f t="shared" si="16"/>
        <v>-1.2000000000000728E-3</v>
      </c>
      <c r="D318" s="11">
        <f t="shared" si="17"/>
        <v>1.0006700000000022</v>
      </c>
      <c r="E318" s="20">
        <v>31.5</v>
      </c>
      <c r="F318" s="14">
        <v>0.96374000000000004</v>
      </c>
      <c r="G318" s="10">
        <f t="shared" si="18"/>
        <v>-1.2000000000000728E-3</v>
      </c>
      <c r="H318" s="11">
        <f t="shared" si="19"/>
        <v>1.0015400000000023</v>
      </c>
    </row>
    <row r="319" spans="1:8" ht="13.8" thickBot="1">
      <c r="A319" s="20">
        <v>31.6</v>
      </c>
      <c r="B319" s="14">
        <v>0.96274999999999999</v>
      </c>
      <c r="C319" s="10">
        <f t="shared" si="16"/>
        <v>-1.2000000000001155E-3</v>
      </c>
      <c r="D319" s="11">
        <f t="shared" si="17"/>
        <v>1.0006700000000037</v>
      </c>
      <c r="E319" s="20">
        <v>31.6</v>
      </c>
      <c r="F319" s="14">
        <v>0.96362000000000003</v>
      </c>
      <c r="G319" s="10">
        <f t="shared" si="18"/>
        <v>-1.2000000000001153E-3</v>
      </c>
      <c r="H319" s="11">
        <f t="shared" si="19"/>
        <v>1.0015400000000036</v>
      </c>
    </row>
    <row r="320" spans="1:8" ht="13.8" thickBot="1">
      <c r="A320" s="20">
        <v>31.7</v>
      </c>
      <c r="B320" s="14">
        <v>0.96262999999999999</v>
      </c>
      <c r="C320" s="10">
        <f t="shared" si="16"/>
        <v>-1.2000000000000728E-3</v>
      </c>
      <c r="D320" s="11">
        <f t="shared" si="17"/>
        <v>1.0006700000000022</v>
      </c>
      <c r="E320" s="20">
        <v>31.7</v>
      </c>
      <c r="F320" s="14">
        <v>0.96350000000000002</v>
      </c>
      <c r="G320" s="10">
        <f t="shared" si="18"/>
        <v>-1.2000000000000728E-3</v>
      </c>
      <c r="H320" s="11">
        <f t="shared" si="19"/>
        <v>1.0015400000000023</v>
      </c>
    </row>
    <row r="321" spans="1:8" ht="13.8" thickBot="1">
      <c r="A321" s="20">
        <v>31.8</v>
      </c>
      <c r="B321" s="14">
        <v>0.96250999999999998</v>
      </c>
      <c r="C321" s="10">
        <f t="shared" si="16"/>
        <v>-1.2000000000001153E-3</v>
      </c>
      <c r="D321" s="11">
        <f t="shared" si="17"/>
        <v>1.0006700000000037</v>
      </c>
      <c r="E321" s="20">
        <v>31.8</v>
      </c>
      <c r="F321" s="14">
        <v>0.96338000000000001</v>
      </c>
      <c r="G321" s="10">
        <f t="shared" si="18"/>
        <v>-1.2000000000001155E-3</v>
      </c>
      <c r="H321" s="11">
        <f t="shared" si="19"/>
        <v>1.0015400000000036</v>
      </c>
    </row>
    <row r="322" spans="1:8" ht="13.8" thickBot="1">
      <c r="A322" s="20">
        <v>31.9</v>
      </c>
      <c r="B322" s="14">
        <v>0.96238999999999997</v>
      </c>
      <c r="C322" s="10">
        <f t="shared" si="16"/>
        <v>-1.2999999999996163E-3</v>
      </c>
      <c r="D322" s="11">
        <f t="shared" si="17"/>
        <v>1.0038599999999878</v>
      </c>
      <c r="E322" s="20">
        <v>31.9</v>
      </c>
      <c r="F322" s="14">
        <v>0.96326000000000001</v>
      </c>
      <c r="G322" s="10">
        <f t="shared" si="18"/>
        <v>-1.2999999999996163E-3</v>
      </c>
      <c r="H322" s="11">
        <f t="shared" si="19"/>
        <v>1.0047299999999877</v>
      </c>
    </row>
    <row r="323" spans="1:8" ht="13.8" thickBot="1">
      <c r="A323" s="22">
        <v>32</v>
      </c>
      <c r="B323" s="17">
        <v>0.96226</v>
      </c>
      <c r="C323" s="10">
        <f t="shared" si="16"/>
        <v>-1.2000000000000728E-3</v>
      </c>
      <c r="D323" s="11">
        <f t="shared" si="17"/>
        <v>1.0006600000000023</v>
      </c>
      <c r="E323" s="22">
        <v>32</v>
      </c>
      <c r="F323" s="17">
        <v>0.96313000000000004</v>
      </c>
      <c r="G323" s="10">
        <f t="shared" si="18"/>
        <v>-1.2000000000000728E-3</v>
      </c>
      <c r="H323" s="11">
        <f t="shared" si="19"/>
        <v>1.0015300000000025</v>
      </c>
    </row>
    <row r="324" spans="1:8" ht="13.8" thickBot="1">
      <c r="A324" s="20">
        <v>32.1</v>
      </c>
      <c r="B324" s="14">
        <v>0.96214</v>
      </c>
      <c r="C324" s="10">
        <f t="shared" ref="C324:C387" si="20">SLOPE(B324:B325,A324:A325)</f>
        <v>-1.2000000000000728E-3</v>
      </c>
      <c r="D324" s="11">
        <f t="shared" ref="D324:D387" si="21">INTERCEPT(B324:B325,A324:A325)</f>
        <v>1.0006600000000023</v>
      </c>
      <c r="E324" s="20">
        <v>32.1</v>
      </c>
      <c r="F324" s="14">
        <v>0.96301000000000003</v>
      </c>
      <c r="G324" s="10">
        <f t="shared" ref="G324:G387" si="22">SLOPE(F324:F325,E324:E325)</f>
        <v>-1.2000000000000728E-3</v>
      </c>
      <c r="H324" s="11">
        <f t="shared" ref="H324:H387" si="23">INTERCEPT(F324:F325,E324:E325)</f>
        <v>1.0015300000000023</v>
      </c>
    </row>
    <row r="325" spans="1:8" ht="13.8" thickBot="1">
      <c r="A325" s="20">
        <v>32.200000000000003</v>
      </c>
      <c r="B325" s="14">
        <v>0.96201999999999999</v>
      </c>
      <c r="C325" s="10">
        <f t="shared" si="20"/>
        <v>-1.2999999999997085E-3</v>
      </c>
      <c r="D325" s="11">
        <f t="shared" si="21"/>
        <v>1.0038799999999906</v>
      </c>
      <c r="E325" s="20">
        <v>32.200000000000003</v>
      </c>
      <c r="F325" s="14">
        <v>0.96289000000000002</v>
      </c>
      <c r="G325" s="10">
        <f t="shared" si="22"/>
        <v>-1.3000000000008187E-3</v>
      </c>
      <c r="H325" s="11">
        <f t="shared" si="23"/>
        <v>1.0047500000000265</v>
      </c>
    </row>
    <row r="326" spans="1:8" ht="13.8" thickBot="1">
      <c r="A326" s="20">
        <v>32.299999999999997</v>
      </c>
      <c r="B326" s="14">
        <v>0.96189000000000002</v>
      </c>
      <c r="C326" s="10">
        <f t="shared" si="20"/>
        <v>-1.2000000000000728E-3</v>
      </c>
      <c r="D326" s="11">
        <f t="shared" si="21"/>
        <v>1.0006500000000023</v>
      </c>
      <c r="E326" s="20">
        <v>32.299999999999997</v>
      </c>
      <c r="F326" s="14">
        <v>0.96275999999999995</v>
      </c>
      <c r="G326" s="10">
        <f t="shared" si="22"/>
        <v>-1.1999999999989627E-3</v>
      </c>
      <c r="H326" s="11">
        <f t="shared" si="23"/>
        <v>1.0015199999999664</v>
      </c>
    </row>
    <row r="327" spans="1:8" ht="13.8" thickBot="1">
      <c r="A327" s="20">
        <v>32.4</v>
      </c>
      <c r="B327" s="14">
        <v>0.96177000000000001</v>
      </c>
      <c r="C327" s="10">
        <f t="shared" si="20"/>
        <v>-1.2000000000000728E-3</v>
      </c>
      <c r="D327" s="11">
        <f t="shared" si="21"/>
        <v>1.0006500000000025</v>
      </c>
      <c r="E327" s="20">
        <v>32.4</v>
      </c>
      <c r="F327" s="14">
        <v>0.96264000000000005</v>
      </c>
      <c r="G327" s="10">
        <f t="shared" si="22"/>
        <v>-1.2000000000000728E-3</v>
      </c>
      <c r="H327" s="11">
        <f t="shared" si="23"/>
        <v>1.0015200000000024</v>
      </c>
    </row>
    <row r="328" spans="1:8" ht="13.8" thickBot="1">
      <c r="A328" s="20">
        <v>32.5</v>
      </c>
      <c r="B328" s="14">
        <v>0.96165</v>
      </c>
      <c r="C328" s="10">
        <f t="shared" si="20"/>
        <v>-1.2999999999996161E-3</v>
      </c>
      <c r="D328" s="11">
        <f t="shared" si="21"/>
        <v>1.0038999999999876</v>
      </c>
      <c r="E328" s="20">
        <v>32.5</v>
      </c>
      <c r="F328" s="14">
        <v>0.96252000000000004</v>
      </c>
      <c r="G328" s="10">
        <f t="shared" si="22"/>
        <v>-1.3000000000007264E-3</v>
      </c>
      <c r="H328" s="11">
        <f t="shared" si="23"/>
        <v>1.0047700000000237</v>
      </c>
    </row>
    <row r="329" spans="1:8" ht="13.8" thickBot="1">
      <c r="A329" s="20">
        <v>32.6</v>
      </c>
      <c r="B329" s="14">
        <v>0.96152000000000004</v>
      </c>
      <c r="C329" s="10">
        <f t="shared" si="20"/>
        <v>-1.2000000000000728E-3</v>
      </c>
      <c r="D329" s="11">
        <f t="shared" si="21"/>
        <v>1.0006400000000024</v>
      </c>
      <c r="E329" s="20">
        <v>32.6</v>
      </c>
      <c r="F329" s="14">
        <v>0.96238999999999997</v>
      </c>
      <c r="G329" s="10">
        <f t="shared" si="22"/>
        <v>-1.2000000000000728E-3</v>
      </c>
      <c r="H329" s="11">
        <f t="shared" si="23"/>
        <v>1.0015100000000023</v>
      </c>
    </row>
    <row r="330" spans="1:8" ht="13.8" thickBot="1">
      <c r="A330" s="20">
        <v>32.700000000000003</v>
      </c>
      <c r="B330" s="14">
        <v>0.96140000000000003</v>
      </c>
      <c r="C330" s="10">
        <f t="shared" si="20"/>
        <v>-1.3000000000008187E-3</v>
      </c>
      <c r="D330" s="11">
        <f t="shared" si="21"/>
        <v>1.0039100000000269</v>
      </c>
      <c r="E330" s="20">
        <v>32.700000000000003</v>
      </c>
      <c r="F330" s="14">
        <v>0.96226999999999996</v>
      </c>
      <c r="G330" s="10">
        <f t="shared" si="22"/>
        <v>-1.2999999999997085E-3</v>
      </c>
      <c r="H330" s="11">
        <f t="shared" si="23"/>
        <v>1.0047799999999905</v>
      </c>
    </row>
    <row r="331" spans="1:8" ht="13.8" thickBot="1">
      <c r="A331" s="20">
        <v>32.799999999999997</v>
      </c>
      <c r="B331" s="14">
        <v>0.96126999999999996</v>
      </c>
      <c r="C331" s="10">
        <f t="shared" si="20"/>
        <v>-1.2999999999996161E-3</v>
      </c>
      <c r="D331" s="11">
        <f t="shared" si="21"/>
        <v>1.0039099999999874</v>
      </c>
      <c r="E331" s="20">
        <v>32.799999999999997</v>
      </c>
      <c r="F331" s="14">
        <v>0.96214</v>
      </c>
      <c r="G331" s="10">
        <f t="shared" si="22"/>
        <v>-1.2999999999996161E-3</v>
      </c>
      <c r="H331" s="11">
        <f t="shared" si="23"/>
        <v>1.0047799999999873</v>
      </c>
    </row>
    <row r="332" spans="1:8" ht="13.8" thickBot="1">
      <c r="A332" s="20">
        <v>32.9</v>
      </c>
      <c r="B332" s="14">
        <v>0.96113999999999999</v>
      </c>
      <c r="C332" s="10">
        <f t="shared" si="20"/>
        <v>-1.2000000000000728E-3</v>
      </c>
      <c r="D332" s="11">
        <f t="shared" si="21"/>
        <v>1.0006200000000023</v>
      </c>
      <c r="E332" s="20">
        <v>32.9</v>
      </c>
      <c r="F332" s="14">
        <v>0.96201000000000003</v>
      </c>
      <c r="G332" s="10">
        <f t="shared" si="22"/>
        <v>-1.2000000000000728E-3</v>
      </c>
      <c r="H332" s="11">
        <f t="shared" si="23"/>
        <v>1.0014900000000024</v>
      </c>
    </row>
    <row r="333" spans="1:8" ht="13.8" thickBot="1">
      <c r="A333" s="22">
        <v>33</v>
      </c>
      <c r="B333" s="17">
        <v>0.96101999999999999</v>
      </c>
      <c r="C333" s="10">
        <f t="shared" si="20"/>
        <v>-1.2999999999996161E-3</v>
      </c>
      <c r="D333" s="11">
        <f t="shared" si="21"/>
        <v>1.0039199999999873</v>
      </c>
      <c r="E333" s="22">
        <v>33</v>
      </c>
      <c r="F333" s="17">
        <v>0.96189000000000002</v>
      </c>
      <c r="G333" s="10">
        <f t="shared" si="22"/>
        <v>-1.3000000000007264E-3</v>
      </c>
      <c r="H333" s="11">
        <f t="shared" si="23"/>
        <v>1.0047900000000238</v>
      </c>
    </row>
    <row r="334" spans="1:8" ht="13.8" thickBot="1">
      <c r="A334" s="20">
        <v>33.1</v>
      </c>
      <c r="B334" s="14">
        <v>0.96089000000000002</v>
      </c>
      <c r="C334" s="10">
        <f t="shared" si="20"/>
        <v>-1.2000000000000728E-3</v>
      </c>
      <c r="D334" s="11">
        <f t="shared" si="21"/>
        <v>1.0006100000000024</v>
      </c>
      <c r="E334" s="20">
        <v>33.1</v>
      </c>
      <c r="F334" s="14">
        <v>0.96175999999999995</v>
      </c>
      <c r="G334" s="10">
        <f t="shared" si="22"/>
        <v>-1.1999999999989627E-3</v>
      </c>
      <c r="H334" s="11">
        <f t="shared" si="23"/>
        <v>1.0014799999999657</v>
      </c>
    </row>
    <row r="335" spans="1:8" ht="13.8" thickBot="1">
      <c r="A335" s="20">
        <v>33.200000000000003</v>
      </c>
      <c r="B335" s="14">
        <v>0.96077000000000001</v>
      </c>
      <c r="C335" s="10">
        <f t="shared" si="20"/>
        <v>-1.2999999999997085E-3</v>
      </c>
      <c r="D335" s="11">
        <f t="shared" si="21"/>
        <v>1.0039299999999904</v>
      </c>
      <c r="E335" s="20">
        <v>33.200000000000003</v>
      </c>
      <c r="F335" s="14">
        <v>0.96164000000000005</v>
      </c>
      <c r="G335" s="10">
        <f t="shared" si="22"/>
        <v>-1.3000000000008187E-3</v>
      </c>
      <c r="H335" s="11">
        <f t="shared" si="23"/>
        <v>1.0048000000000272</v>
      </c>
    </row>
    <row r="336" spans="1:8" ht="13.8" thickBot="1">
      <c r="A336" s="20">
        <v>33.299999999999997</v>
      </c>
      <c r="B336" s="14">
        <v>0.96064000000000005</v>
      </c>
      <c r="C336" s="10">
        <f t="shared" si="20"/>
        <v>-1.3000000000007264E-3</v>
      </c>
      <c r="D336" s="11">
        <f t="shared" si="21"/>
        <v>1.0039300000000242</v>
      </c>
      <c r="E336" s="20">
        <v>33.299999999999997</v>
      </c>
      <c r="F336" s="14">
        <v>0.96150999999999998</v>
      </c>
      <c r="G336" s="10">
        <f t="shared" si="22"/>
        <v>-1.2999999999996161E-3</v>
      </c>
      <c r="H336" s="11">
        <f t="shared" si="23"/>
        <v>1.0047999999999873</v>
      </c>
    </row>
    <row r="337" spans="1:8" ht="13.8" thickBot="1">
      <c r="A337" s="20">
        <v>33.4</v>
      </c>
      <c r="B337" s="14">
        <v>0.96050999999999997</v>
      </c>
      <c r="C337" s="10">
        <f t="shared" si="20"/>
        <v>-1.2999999999996161E-3</v>
      </c>
      <c r="D337" s="11">
        <f t="shared" si="21"/>
        <v>1.0039299999999871</v>
      </c>
      <c r="E337" s="20">
        <v>33.4</v>
      </c>
      <c r="F337" s="14">
        <v>0.96138000000000001</v>
      </c>
      <c r="G337" s="10">
        <f t="shared" si="22"/>
        <v>-1.2999999999996161E-3</v>
      </c>
      <c r="H337" s="11">
        <f t="shared" si="23"/>
        <v>1.0047999999999873</v>
      </c>
    </row>
    <row r="338" spans="1:8" ht="13.8" thickBot="1">
      <c r="A338" s="20">
        <v>33.5</v>
      </c>
      <c r="B338" s="14">
        <v>0.96038000000000001</v>
      </c>
      <c r="C338" s="10">
        <f t="shared" si="20"/>
        <v>-1.2999999999996161E-3</v>
      </c>
      <c r="D338" s="11">
        <f t="shared" si="21"/>
        <v>1.0039299999999871</v>
      </c>
      <c r="E338" s="20">
        <v>33.5</v>
      </c>
      <c r="F338" s="14">
        <v>0.96125000000000005</v>
      </c>
      <c r="G338" s="10">
        <f t="shared" si="22"/>
        <v>-1.3000000000007264E-3</v>
      </c>
      <c r="H338" s="11">
        <f t="shared" si="23"/>
        <v>1.0048000000000243</v>
      </c>
    </row>
    <row r="339" spans="1:8" ht="13.8" thickBot="1">
      <c r="A339" s="20">
        <v>33.6</v>
      </c>
      <c r="B339" s="14">
        <v>0.96025000000000005</v>
      </c>
      <c r="C339" s="10">
        <f t="shared" si="20"/>
        <v>-1.2000000000000728E-3</v>
      </c>
      <c r="D339" s="11">
        <f t="shared" si="21"/>
        <v>1.0005700000000026</v>
      </c>
      <c r="E339" s="20">
        <v>33.6</v>
      </c>
      <c r="F339" s="14">
        <v>0.96111999999999997</v>
      </c>
      <c r="G339" s="10">
        <f t="shared" si="22"/>
        <v>-1.2999999999996161E-3</v>
      </c>
      <c r="H339" s="11">
        <f t="shared" si="23"/>
        <v>1.004799999999987</v>
      </c>
    </row>
    <row r="340" spans="1:8" ht="13.8" thickBot="1">
      <c r="A340" s="20">
        <v>33.700000000000003</v>
      </c>
      <c r="B340" s="14">
        <v>0.96013000000000004</v>
      </c>
      <c r="C340" s="10">
        <f t="shared" si="20"/>
        <v>-1.3000000000008187E-3</v>
      </c>
      <c r="D340" s="11">
        <f t="shared" si="21"/>
        <v>1.0039400000000276</v>
      </c>
      <c r="E340" s="20">
        <v>33.700000000000003</v>
      </c>
      <c r="F340" s="14">
        <v>0.96099000000000001</v>
      </c>
      <c r="G340" s="10">
        <f t="shared" si="22"/>
        <v>-1.2999999999997085E-3</v>
      </c>
      <c r="H340" s="11">
        <f t="shared" si="23"/>
        <v>1.0047999999999901</v>
      </c>
    </row>
    <row r="341" spans="1:8" ht="13.8" thickBot="1">
      <c r="A341" s="20">
        <v>33.799999999999997</v>
      </c>
      <c r="B341" s="14">
        <v>0.96</v>
      </c>
      <c r="C341" s="10">
        <f t="shared" si="20"/>
        <v>-1.2999999999996161E-3</v>
      </c>
      <c r="D341" s="11">
        <f t="shared" si="21"/>
        <v>1.003939999999987</v>
      </c>
      <c r="E341" s="20">
        <v>33.799999999999997</v>
      </c>
      <c r="F341" s="14">
        <v>0.96086000000000005</v>
      </c>
      <c r="G341" s="10">
        <f t="shared" si="22"/>
        <v>-1.3000000000007264E-3</v>
      </c>
      <c r="H341" s="11">
        <f t="shared" si="23"/>
        <v>1.0048000000000246</v>
      </c>
    </row>
    <row r="342" spans="1:8" ht="13.8" thickBot="1">
      <c r="A342" s="20">
        <v>33.9</v>
      </c>
      <c r="B342" s="14">
        <v>0.95987</v>
      </c>
      <c r="C342" s="10">
        <f t="shared" si="20"/>
        <v>-1.2999999999996161E-3</v>
      </c>
      <c r="D342" s="11">
        <f t="shared" si="21"/>
        <v>1.003939999999987</v>
      </c>
      <c r="E342" s="20">
        <v>33.9</v>
      </c>
      <c r="F342" s="14">
        <v>0.96072999999999997</v>
      </c>
      <c r="G342" s="10">
        <f t="shared" si="22"/>
        <v>-1.2999999999996161E-3</v>
      </c>
      <c r="H342" s="11">
        <f t="shared" si="23"/>
        <v>1.004799999999987</v>
      </c>
    </row>
    <row r="343" spans="1:8" ht="13.8" thickBot="1">
      <c r="A343" s="22">
        <v>34</v>
      </c>
      <c r="B343" s="17">
        <v>0.95974000000000004</v>
      </c>
      <c r="C343" s="10">
        <f t="shared" si="20"/>
        <v>-1.3000000000007264E-3</v>
      </c>
      <c r="D343" s="11">
        <f t="shared" si="21"/>
        <v>1.0039400000000247</v>
      </c>
      <c r="E343" s="22">
        <v>34</v>
      </c>
      <c r="F343" s="17">
        <v>0.96060000000000001</v>
      </c>
      <c r="G343" s="10">
        <f t="shared" si="22"/>
        <v>-1.2999999999996161E-3</v>
      </c>
      <c r="H343" s="11">
        <f t="shared" si="23"/>
        <v>1.004799999999987</v>
      </c>
    </row>
    <row r="344" spans="1:8" ht="13.8" thickBot="1">
      <c r="A344" s="20">
        <v>34.1</v>
      </c>
      <c r="B344" s="14">
        <v>0.95960999999999996</v>
      </c>
      <c r="C344" s="10">
        <f t="shared" si="20"/>
        <v>-1.2999999999996161E-3</v>
      </c>
      <c r="D344" s="11">
        <f t="shared" si="21"/>
        <v>1.003939999999987</v>
      </c>
      <c r="E344" s="20">
        <v>34.1</v>
      </c>
      <c r="F344" s="14">
        <v>0.96047000000000005</v>
      </c>
      <c r="G344" s="10">
        <f t="shared" si="22"/>
        <v>-1.3000000000007264E-3</v>
      </c>
      <c r="H344" s="11">
        <f t="shared" si="23"/>
        <v>1.0048000000000248</v>
      </c>
    </row>
    <row r="345" spans="1:8" ht="13.8" thickBot="1">
      <c r="A345" s="20">
        <v>34.200000000000003</v>
      </c>
      <c r="B345" s="14">
        <v>0.95948</v>
      </c>
      <c r="C345" s="10">
        <f t="shared" si="20"/>
        <v>-1.2999999999997085E-3</v>
      </c>
      <c r="D345" s="11">
        <f t="shared" si="21"/>
        <v>1.0039399999999901</v>
      </c>
      <c r="E345" s="20">
        <v>34.200000000000003</v>
      </c>
      <c r="F345" s="14">
        <v>0.96033999999999997</v>
      </c>
      <c r="G345" s="10">
        <f t="shared" si="22"/>
        <v>-1.2999999999997085E-3</v>
      </c>
      <c r="H345" s="11">
        <f t="shared" si="23"/>
        <v>1.0047999999999899</v>
      </c>
    </row>
    <row r="346" spans="1:8" ht="13.8" thickBot="1">
      <c r="A346" s="20">
        <v>34.299999999999997</v>
      </c>
      <c r="B346" s="14">
        <v>0.95935000000000004</v>
      </c>
      <c r="C346" s="10">
        <f t="shared" si="20"/>
        <v>-1.40000000000027E-3</v>
      </c>
      <c r="D346" s="11">
        <f t="shared" si="21"/>
        <v>1.0073700000000092</v>
      </c>
      <c r="E346" s="20">
        <v>34.299999999999997</v>
      </c>
      <c r="F346" s="14">
        <v>0.96021000000000001</v>
      </c>
      <c r="G346" s="10">
        <f t="shared" si="22"/>
        <v>-1.40000000000027E-3</v>
      </c>
      <c r="H346" s="11">
        <f t="shared" si="23"/>
        <v>1.0082300000000093</v>
      </c>
    </row>
    <row r="347" spans="1:8" ht="13.8" thickBot="1">
      <c r="A347" s="20">
        <v>34.4</v>
      </c>
      <c r="B347" s="14">
        <v>0.95921000000000001</v>
      </c>
      <c r="C347" s="10">
        <f t="shared" si="20"/>
        <v>-1.2999999999996161E-3</v>
      </c>
      <c r="D347" s="11">
        <f t="shared" si="21"/>
        <v>1.0039299999999869</v>
      </c>
      <c r="E347" s="20">
        <v>34.4</v>
      </c>
      <c r="F347" s="14">
        <v>0.96006999999999998</v>
      </c>
      <c r="G347" s="10">
        <f t="shared" si="22"/>
        <v>-1.2999999999996161E-3</v>
      </c>
      <c r="H347" s="11">
        <f t="shared" si="23"/>
        <v>1.0047899999999867</v>
      </c>
    </row>
    <row r="348" spans="1:8" ht="13.8" thickBot="1">
      <c r="A348" s="20">
        <v>34.5</v>
      </c>
      <c r="B348" s="14">
        <v>0.95908000000000004</v>
      </c>
      <c r="C348" s="10">
        <f t="shared" si="20"/>
        <v>-1.3000000000007264E-3</v>
      </c>
      <c r="D348" s="11">
        <f t="shared" si="21"/>
        <v>1.0039300000000251</v>
      </c>
      <c r="E348" s="20">
        <v>34.5</v>
      </c>
      <c r="F348" s="14">
        <v>0.95994000000000002</v>
      </c>
      <c r="G348" s="10">
        <f t="shared" si="22"/>
        <v>-1.2999999999996161E-3</v>
      </c>
      <c r="H348" s="11">
        <f t="shared" si="23"/>
        <v>1.0047899999999867</v>
      </c>
    </row>
    <row r="349" spans="1:8" ht="13.8" thickBot="1">
      <c r="A349" s="20">
        <v>34.6</v>
      </c>
      <c r="B349" s="14">
        <v>0.95894999999999997</v>
      </c>
      <c r="C349" s="10">
        <f t="shared" si="20"/>
        <v>-1.2999999999996161E-3</v>
      </c>
      <c r="D349" s="11">
        <f t="shared" si="21"/>
        <v>1.0039299999999867</v>
      </c>
      <c r="E349" s="20">
        <v>34.6</v>
      </c>
      <c r="F349" s="14">
        <v>0.95981000000000005</v>
      </c>
      <c r="G349" s="10">
        <f t="shared" si="22"/>
        <v>-1.3000000000007264E-3</v>
      </c>
      <c r="H349" s="11">
        <f t="shared" si="23"/>
        <v>1.0047900000000252</v>
      </c>
    </row>
    <row r="350" spans="1:8" ht="13.8" thickBot="1">
      <c r="A350" s="20">
        <v>34.700000000000003</v>
      </c>
      <c r="B350" s="14">
        <v>0.95882000000000001</v>
      </c>
      <c r="C350" s="10">
        <f t="shared" si="20"/>
        <v>-1.4000000000003695E-3</v>
      </c>
      <c r="D350" s="11">
        <f t="shared" si="21"/>
        <v>1.0074000000000127</v>
      </c>
      <c r="E350" s="20">
        <v>34.700000000000003</v>
      </c>
      <c r="F350" s="14">
        <v>0.95967999999999998</v>
      </c>
      <c r="G350" s="10">
        <f t="shared" si="22"/>
        <v>-1.4000000000003695E-3</v>
      </c>
      <c r="H350" s="11">
        <f t="shared" si="23"/>
        <v>1.0082600000000128</v>
      </c>
    </row>
    <row r="351" spans="1:8" ht="13.8" thickBot="1">
      <c r="A351" s="20">
        <v>34.799999999999997</v>
      </c>
      <c r="B351" s="14">
        <v>0.95867999999999998</v>
      </c>
      <c r="C351" s="10">
        <f t="shared" si="20"/>
        <v>-1.2999999999996161E-3</v>
      </c>
      <c r="D351" s="11">
        <f t="shared" si="21"/>
        <v>1.0039199999999866</v>
      </c>
      <c r="E351" s="20">
        <v>34.799999999999997</v>
      </c>
      <c r="F351" s="14">
        <v>0.95953999999999995</v>
      </c>
      <c r="G351" s="10">
        <f t="shared" si="22"/>
        <v>-1.2999999999996161E-3</v>
      </c>
      <c r="H351" s="11">
        <f t="shared" si="23"/>
        <v>1.0047799999999867</v>
      </c>
    </row>
    <row r="352" spans="1:8" ht="13.8" thickBot="1">
      <c r="A352" s="20">
        <v>34.9</v>
      </c>
      <c r="B352" s="14">
        <v>0.95855000000000001</v>
      </c>
      <c r="C352" s="10">
        <f t="shared" si="20"/>
        <v>-1.2999999999996161E-3</v>
      </c>
      <c r="D352" s="11">
        <f t="shared" si="21"/>
        <v>1.0039199999999866</v>
      </c>
      <c r="E352" s="20">
        <v>34.9</v>
      </c>
      <c r="F352" s="14">
        <v>0.95940999999999999</v>
      </c>
      <c r="G352" s="10">
        <f t="shared" si="22"/>
        <v>-1.2999999999996161E-3</v>
      </c>
      <c r="H352" s="11">
        <f t="shared" si="23"/>
        <v>1.0047799999999867</v>
      </c>
    </row>
    <row r="353" spans="1:8" ht="13.8" thickBot="1">
      <c r="A353" s="22">
        <v>35</v>
      </c>
      <c r="B353" s="17">
        <v>0.95842000000000005</v>
      </c>
      <c r="C353" s="10">
        <f t="shared" si="20"/>
        <v>-1.40000000000027E-3</v>
      </c>
      <c r="D353" s="11">
        <f t="shared" si="21"/>
        <v>1.0074200000000095</v>
      </c>
      <c r="E353" s="22">
        <v>35</v>
      </c>
      <c r="F353" s="17">
        <v>0.95928000000000002</v>
      </c>
      <c r="G353" s="10">
        <f t="shared" si="22"/>
        <v>-1.40000000000027E-3</v>
      </c>
      <c r="H353" s="11">
        <f t="shared" si="23"/>
        <v>1.0082800000000094</v>
      </c>
    </row>
    <row r="354" spans="1:8" ht="13.8" thickBot="1">
      <c r="A354" s="20">
        <v>35.1</v>
      </c>
      <c r="B354" s="14">
        <v>0.95828000000000002</v>
      </c>
      <c r="C354" s="10">
        <f t="shared" si="20"/>
        <v>-1.3000000000007264E-3</v>
      </c>
      <c r="D354" s="11">
        <f t="shared" si="21"/>
        <v>1.0039100000000256</v>
      </c>
      <c r="E354" s="20">
        <v>35.1</v>
      </c>
      <c r="F354" s="14">
        <v>0.95913999999999999</v>
      </c>
      <c r="G354" s="10">
        <f t="shared" si="22"/>
        <v>-1.2999999999996161E-3</v>
      </c>
      <c r="H354" s="11">
        <f t="shared" si="23"/>
        <v>1.0047699999999866</v>
      </c>
    </row>
    <row r="355" spans="1:8" ht="13.8" thickBot="1">
      <c r="A355" s="20">
        <v>35.200000000000003</v>
      </c>
      <c r="B355" s="14">
        <v>0.95814999999999995</v>
      </c>
      <c r="C355" s="10">
        <f t="shared" si="20"/>
        <v>-1.399999999999259E-3</v>
      </c>
      <c r="D355" s="11">
        <f t="shared" si="21"/>
        <v>1.0074299999999738</v>
      </c>
      <c r="E355" s="20">
        <v>35.200000000000003</v>
      </c>
      <c r="F355" s="14">
        <v>0.95901000000000003</v>
      </c>
      <c r="G355" s="10">
        <f t="shared" si="22"/>
        <v>-1.4000000000003695E-3</v>
      </c>
      <c r="H355" s="11">
        <f t="shared" si="23"/>
        <v>1.008290000000013</v>
      </c>
    </row>
    <row r="356" spans="1:8" ht="13.8" thickBot="1">
      <c r="A356" s="20">
        <v>35.299999999999997</v>
      </c>
      <c r="B356" s="14">
        <v>0.95801000000000003</v>
      </c>
      <c r="C356" s="10">
        <f t="shared" si="20"/>
        <v>-1.3000000000007264E-3</v>
      </c>
      <c r="D356" s="11">
        <f t="shared" si="21"/>
        <v>1.0039000000000258</v>
      </c>
      <c r="E356" s="20">
        <v>35.299999999999997</v>
      </c>
      <c r="F356" s="14">
        <v>0.95887</v>
      </c>
      <c r="G356" s="10">
        <f t="shared" si="22"/>
        <v>-1.2999999999996161E-3</v>
      </c>
      <c r="H356" s="11">
        <f t="shared" si="23"/>
        <v>1.0047599999999863</v>
      </c>
    </row>
    <row r="357" spans="1:8" ht="13.8" thickBot="1">
      <c r="A357" s="20">
        <v>35.4</v>
      </c>
      <c r="B357" s="14">
        <v>0.95787999999999995</v>
      </c>
      <c r="C357" s="10">
        <f t="shared" si="20"/>
        <v>-1.3999999999991597E-3</v>
      </c>
      <c r="D357" s="11">
        <f t="shared" si="21"/>
        <v>1.0074399999999704</v>
      </c>
      <c r="E357" s="20">
        <v>35.4</v>
      </c>
      <c r="F357" s="14">
        <v>0.95874000000000004</v>
      </c>
      <c r="G357" s="10">
        <f t="shared" si="22"/>
        <v>-1.40000000000027E-3</v>
      </c>
      <c r="H357" s="11">
        <f t="shared" si="23"/>
        <v>1.0083000000000095</v>
      </c>
    </row>
    <row r="358" spans="1:8" ht="13.8" thickBot="1">
      <c r="A358" s="20">
        <v>35.5</v>
      </c>
      <c r="B358" s="14">
        <v>0.95774000000000004</v>
      </c>
      <c r="C358" s="10">
        <f t="shared" si="20"/>
        <v>-1.3000000000007264E-3</v>
      </c>
      <c r="D358" s="11">
        <f t="shared" si="21"/>
        <v>1.0038900000000259</v>
      </c>
      <c r="E358" s="20">
        <v>35.5</v>
      </c>
      <c r="F358" s="14">
        <v>0.95860000000000001</v>
      </c>
      <c r="G358" s="10">
        <f t="shared" si="22"/>
        <v>-1.2999999999996161E-3</v>
      </c>
      <c r="H358" s="11">
        <f t="shared" si="23"/>
        <v>1.0047499999999863</v>
      </c>
    </row>
    <row r="359" spans="1:8" ht="13.8" thickBot="1">
      <c r="A359" s="20">
        <v>35.6</v>
      </c>
      <c r="B359" s="14">
        <v>0.95760999999999996</v>
      </c>
      <c r="C359" s="10">
        <f t="shared" si="20"/>
        <v>-1.3999999999991597E-3</v>
      </c>
      <c r="D359" s="11">
        <f t="shared" si="21"/>
        <v>1.0074499999999702</v>
      </c>
      <c r="E359" s="20">
        <v>35.6</v>
      </c>
      <c r="F359" s="14">
        <v>0.95847000000000004</v>
      </c>
      <c r="G359" s="10">
        <f t="shared" si="22"/>
        <v>-1.40000000000027E-3</v>
      </c>
      <c r="H359" s="11">
        <f t="shared" si="23"/>
        <v>1.0083100000000096</v>
      </c>
    </row>
    <row r="360" spans="1:8" ht="13.8" thickBot="1">
      <c r="A360" s="20">
        <v>35.700000000000003</v>
      </c>
      <c r="B360" s="14">
        <v>0.95747000000000004</v>
      </c>
      <c r="C360" s="10">
        <f t="shared" si="20"/>
        <v>-1.4000000000003695E-3</v>
      </c>
      <c r="D360" s="11">
        <f t="shared" si="21"/>
        <v>1.0074500000000133</v>
      </c>
      <c r="E360" s="20">
        <v>35.700000000000003</v>
      </c>
      <c r="F360" s="14">
        <v>0.95833000000000002</v>
      </c>
      <c r="G360" s="10">
        <f t="shared" si="22"/>
        <v>-1.4000000000003695E-3</v>
      </c>
      <c r="H360" s="11">
        <f t="shared" si="23"/>
        <v>1.0083100000000131</v>
      </c>
    </row>
    <row r="361" spans="1:8" ht="13.8" thickBot="1">
      <c r="A361" s="20">
        <v>35.799999999999997</v>
      </c>
      <c r="B361" s="14">
        <v>0.95733000000000001</v>
      </c>
      <c r="C361" s="10">
        <f t="shared" si="20"/>
        <v>-1.2999999999996161E-3</v>
      </c>
      <c r="D361" s="11">
        <f t="shared" si="21"/>
        <v>1.0038699999999863</v>
      </c>
      <c r="E361" s="20">
        <v>35.799999999999997</v>
      </c>
      <c r="F361" s="14">
        <v>0.95818999999999999</v>
      </c>
      <c r="G361" s="10">
        <f t="shared" si="22"/>
        <v>-1.2999999999996161E-3</v>
      </c>
      <c r="H361" s="11">
        <f t="shared" si="23"/>
        <v>1.0047299999999861</v>
      </c>
    </row>
    <row r="362" spans="1:8" ht="13.8" thickBot="1">
      <c r="A362" s="20">
        <v>35.9</v>
      </c>
      <c r="B362" s="14">
        <v>0.95720000000000005</v>
      </c>
      <c r="C362" s="10">
        <f t="shared" si="20"/>
        <v>-1.40000000000027E-3</v>
      </c>
      <c r="D362" s="11">
        <f t="shared" si="21"/>
        <v>1.0074600000000098</v>
      </c>
      <c r="E362" s="20">
        <v>35.9</v>
      </c>
      <c r="F362" s="14">
        <v>0.95806000000000002</v>
      </c>
      <c r="G362" s="10">
        <f t="shared" si="22"/>
        <v>-1.40000000000027E-3</v>
      </c>
      <c r="H362" s="11">
        <f t="shared" si="23"/>
        <v>1.0083200000000097</v>
      </c>
    </row>
    <row r="363" spans="1:8" ht="13.8" thickBot="1">
      <c r="A363" s="22">
        <v>36</v>
      </c>
      <c r="B363" s="17">
        <v>0.95706000000000002</v>
      </c>
      <c r="C363" s="10">
        <f t="shared" si="20"/>
        <v>-1.40000000000027E-3</v>
      </c>
      <c r="D363" s="11">
        <f t="shared" si="21"/>
        <v>1.0074600000000098</v>
      </c>
      <c r="E363" s="22">
        <v>36</v>
      </c>
      <c r="F363" s="17">
        <v>0.95791999999999999</v>
      </c>
      <c r="G363" s="10">
        <f t="shared" si="22"/>
        <v>-1.40000000000027E-3</v>
      </c>
      <c r="H363" s="11">
        <f t="shared" si="23"/>
        <v>1.0083200000000097</v>
      </c>
    </row>
    <row r="364" spans="1:8" ht="13.8" thickBot="1">
      <c r="A364" s="20">
        <v>36.1</v>
      </c>
      <c r="B364" s="14">
        <v>0.95691999999999999</v>
      </c>
      <c r="C364" s="10">
        <f t="shared" si="20"/>
        <v>-1.40000000000027E-3</v>
      </c>
      <c r="D364" s="11">
        <f t="shared" si="21"/>
        <v>1.0074600000000098</v>
      </c>
      <c r="E364" s="20">
        <v>36.1</v>
      </c>
      <c r="F364" s="14">
        <v>0.95777999999999996</v>
      </c>
      <c r="G364" s="10">
        <f t="shared" si="22"/>
        <v>-1.3999999999991597E-3</v>
      </c>
      <c r="H364" s="11">
        <f t="shared" si="23"/>
        <v>1.0083199999999697</v>
      </c>
    </row>
    <row r="365" spans="1:8" ht="13.8" thickBot="1">
      <c r="A365" s="20">
        <v>36.200000000000003</v>
      </c>
      <c r="B365" s="14">
        <v>0.95677999999999996</v>
      </c>
      <c r="C365" s="10">
        <f t="shared" si="20"/>
        <v>-1.399999999999259E-3</v>
      </c>
      <c r="D365" s="11">
        <f t="shared" si="21"/>
        <v>1.0074599999999732</v>
      </c>
      <c r="E365" s="20">
        <v>36.200000000000003</v>
      </c>
      <c r="F365" s="14">
        <v>0.95764000000000005</v>
      </c>
      <c r="G365" s="10">
        <f t="shared" si="22"/>
        <v>-1.4000000000003695E-3</v>
      </c>
      <c r="H365" s="11">
        <f t="shared" si="23"/>
        <v>1.0083200000000134</v>
      </c>
    </row>
    <row r="366" spans="1:8" ht="13.8" thickBot="1">
      <c r="A366" s="20">
        <v>36.299999999999997</v>
      </c>
      <c r="B366" s="14">
        <v>0.95664000000000005</v>
      </c>
      <c r="C366" s="10">
        <f t="shared" si="20"/>
        <v>-1.40000000000027E-3</v>
      </c>
      <c r="D366" s="11">
        <f t="shared" si="21"/>
        <v>1.0074600000000098</v>
      </c>
      <c r="E366" s="20">
        <v>36.299999999999997</v>
      </c>
      <c r="F366" s="14">
        <v>0.95750000000000002</v>
      </c>
      <c r="G366" s="10">
        <f t="shared" si="22"/>
        <v>-1.40000000000027E-3</v>
      </c>
      <c r="H366" s="11">
        <f t="shared" si="23"/>
        <v>1.0083200000000099</v>
      </c>
    </row>
    <row r="367" spans="1:8" ht="13.8" thickBot="1">
      <c r="A367" s="20">
        <v>36.4</v>
      </c>
      <c r="B367" s="14">
        <v>0.95650000000000002</v>
      </c>
      <c r="C367" s="10">
        <f t="shared" si="20"/>
        <v>-1.40000000000027E-3</v>
      </c>
      <c r="D367" s="11">
        <f t="shared" si="21"/>
        <v>1.0074600000000098</v>
      </c>
      <c r="E367" s="20">
        <v>36.4</v>
      </c>
      <c r="F367" s="14">
        <v>0.95735999999999999</v>
      </c>
      <c r="G367" s="10">
        <f t="shared" si="22"/>
        <v>-1.40000000000027E-3</v>
      </c>
      <c r="H367" s="11">
        <f t="shared" si="23"/>
        <v>1.0083200000000099</v>
      </c>
    </row>
    <row r="368" spans="1:8" ht="13.8" thickBot="1">
      <c r="A368" s="20">
        <v>36.5</v>
      </c>
      <c r="B368" s="14">
        <v>0.95635999999999999</v>
      </c>
      <c r="C368" s="10">
        <f t="shared" si="20"/>
        <v>-1.40000000000027E-3</v>
      </c>
      <c r="D368" s="11">
        <f t="shared" si="21"/>
        <v>1.0074600000000098</v>
      </c>
      <c r="E368" s="20">
        <v>36.5</v>
      </c>
      <c r="F368" s="14">
        <v>0.95721999999999996</v>
      </c>
      <c r="G368" s="10">
        <f t="shared" si="22"/>
        <v>-1.3999999999991597E-3</v>
      </c>
      <c r="H368" s="11">
        <f t="shared" si="23"/>
        <v>1.0083199999999692</v>
      </c>
    </row>
    <row r="369" spans="1:8" ht="13.8" thickBot="1">
      <c r="A369" s="20">
        <v>36.6</v>
      </c>
      <c r="B369" s="14">
        <v>0.95621999999999996</v>
      </c>
      <c r="C369" s="10">
        <f t="shared" si="20"/>
        <v>-1.3999999999991597E-3</v>
      </c>
      <c r="D369" s="11">
        <f t="shared" si="21"/>
        <v>1.0074599999999694</v>
      </c>
      <c r="E369" s="20">
        <v>36.6</v>
      </c>
      <c r="F369" s="14">
        <v>0.95708000000000004</v>
      </c>
      <c r="G369" s="10">
        <f t="shared" si="22"/>
        <v>-1.40000000000027E-3</v>
      </c>
      <c r="H369" s="11">
        <f t="shared" si="23"/>
        <v>1.0083200000000099</v>
      </c>
    </row>
    <row r="370" spans="1:8" ht="13.8" thickBot="1">
      <c r="A370" s="20">
        <v>36.700000000000003</v>
      </c>
      <c r="B370" s="14">
        <v>0.95608000000000004</v>
      </c>
      <c r="C370" s="10">
        <f t="shared" si="20"/>
        <v>-1.4000000000003695E-3</v>
      </c>
      <c r="D370" s="11">
        <f t="shared" si="21"/>
        <v>1.0074600000000136</v>
      </c>
      <c r="E370" s="20">
        <v>36.700000000000003</v>
      </c>
      <c r="F370" s="14">
        <v>0.95694000000000001</v>
      </c>
      <c r="G370" s="10">
        <f t="shared" si="22"/>
        <v>-1.4000000000003695E-3</v>
      </c>
      <c r="H370" s="11">
        <f t="shared" si="23"/>
        <v>1.0083200000000136</v>
      </c>
    </row>
    <row r="371" spans="1:8" ht="13.8" thickBot="1">
      <c r="A371" s="20">
        <v>36.799999999999997</v>
      </c>
      <c r="B371" s="14">
        <v>0.95594000000000001</v>
      </c>
      <c r="C371" s="10">
        <f t="shared" si="20"/>
        <v>-1.40000000000027E-3</v>
      </c>
      <c r="D371" s="11">
        <f t="shared" si="21"/>
        <v>1.00746000000001</v>
      </c>
      <c r="E371" s="20">
        <v>36.799999999999997</v>
      </c>
      <c r="F371" s="14">
        <v>0.95679999999999998</v>
      </c>
      <c r="G371" s="10">
        <f t="shared" si="22"/>
        <v>-1.40000000000027E-3</v>
      </c>
      <c r="H371" s="11">
        <f t="shared" si="23"/>
        <v>1.0083200000000099</v>
      </c>
    </row>
    <row r="372" spans="1:8" ht="13.8" thickBot="1">
      <c r="A372" s="20">
        <v>36.9</v>
      </c>
      <c r="B372" s="14">
        <v>0.95579999999999998</v>
      </c>
      <c r="C372" s="10">
        <f t="shared" si="20"/>
        <v>-1.40000000000027E-3</v>
      </c>
      <c r="D372" s="11">
        <f t="shared" si="21"/>
        <v>1.00746000000001</v>
      </c>
      <c r="E372" s="20">
        <v>36.9</v>
      </c>
      <c r="F372" s="14">
        <v>0.95665999999999995</v>
      </c>
      <c r="G372" s="10">
        <f t="shared" si="22"/>
        <v>-1.3999999999991597E-3</v>
      </c>
      <c r="H372" s="11">
        <f t="shared" si="23"/>
        <v>1.008319999999969</v>
      </c>
    </row>
    <row r="373" spans="1:8" ht="13.8" thickBot="1">
      <c r="A373" s="22">
        <v>37</v>
      </c>
      <c r="B373" s="17">
        <v>0.95565999999999995</v>
      </c>
      <c r="C373" s="10">
        <f t="shared" si="20"/>
        <v>-1.3999999999991597E-3</v>
      </c>
      <c r="D373" s="11">
        <f t="shared" si="21"/>
        <v>1.0074599999999687</v>
      </c>
      <c r="E373" s="22">
        <v>37</v>
      </c>
      <c r="F373" s="17">
        <v>0.95652000000000004</v>
      </c>
      <c r="G373" s="10">
        <f t="shared" si="22"/>
        <v>-1.40000000000027E-3</v>
      </c>
      <c r="H373" s="11">
        <f t="shared" si="23"/>
        <v>1.0083200000000101</v>
      </c>
    </row>
    <row r="374" spans="1:8" ht="13.8" thickBot="1">
      <c r="A374" s="20">
        <v>37.1</v>
      </c>
      <c r="B374" s="14">
        <v>0.95552000000000004</v>
      </c>
      <c r="C374" s="10">
        <f t="shared" si="20"/>
        <v>-1.4999999999998135E-3</v>
      </c>
      <c r="D374" s="11">
        <f t="shared" si="21"/>
        <v>1.0111699999999932</v>
      </c>
      <c r="E374" s="20">
        <v>37.1</v>
      </c>
      <c r="F374" s="14">
        <v>0.95638000000000001</v>
      </c>
      <c r="G374" s="10">
        <f t="shared" si="22"/>
        <v>-1.4999999999998135E-3</v>
      </c>
      <c r="H374" s="11">
        <f t="shared" si="23"/>
        <v>1.0120299999999931</v>
      </c>
    </row>
    <row r="375" spans="1:8" ht="13.8" thickBot="1">
      <c r="A375" s="20">
        <v>37.200000000000003</v>
      </c>
      <c r="B375" s="14">
        <v>0.95537000000000005</v>
      </c>
      <c r="C375" s="10">
        <f t="shared" si="20"/>
        <v>-1.4000000000003695E-3</v>
      </c>
      <c r="D375" s="11">
        <f t="shared" si="21"/>
        <v>1.0074500000000137</v>
      </c>
      <c r="E375" s="20">
        <v>37.200000000000003</v>
      </c>
      <c r="F375" s="14">
        <v>0.95623000000000002</v>
      </c>
      <c r="G375" s="10">
        <f t="shared" si="22"/>
        <v>-1.4000000000003695E-3</v>
      </c>
      <c r="H375" s="11">
        <f t="shared" si="23"/>
        <v>1.0083100000000138</v>
      </c>
    </row>
    <row r="376" spans="1:8" ht="13.8" thickBot="1">
      <c r="A376" s="20">
        <v>37.299999999999997</v>
      </c>
      <c r="B376" s="14">
        <v>0.95523000000000002</v>
      </c>
      <c r="C376" s="10">
        <f t="shared" si="20"/>
        <v>-1.40000000000027E-3</v>
      </c>
      <c r="D376" s="11">
        <f t="shared" si="21"/>
        <v>1.0074500000000102</v>
      </c>
      <c r="E376" s="20">
        <v>37.299999999999997</v>
      </c>
      <c r="F376" s="14">
        <v>0.95609</v>
      </c>
      <c r="G376" s="10">
        <f t="shared" si="22"/>
        <v>-1.40000000000027E-3</v>
      </c>
      <c r="H376" s="11">
        <f t="shared" si="23"/>
        <v>1.00831000000001</v>
      </c>
    </row>
    <row r="377" spans="1:8" ht="13.8" thickBot="1">
      <c r="A377" s="20">
        <v>37.4</v>
      </c>
      <c r="B377" s="14">
        <v>0.95508999999999999</v>
      </c>
      <c r="C377" s="10">
        <f t="shared" si="20"/>
        <v>-1.4999999999998135E-3</v>
      </c>
      <c r="D377" s="11">
        <f t="shared" si="21"/>
        <v>1.0111899999999929</v>
      </c>
      <c r="E377" s="20">
        <v>37.4</v>
      </c>
      <c r="F377" s="14">
        <v>0.95594999999999997</v>
      </c>
      <c r="G377" s="10">
        <f t="shared" si="22"/>
        <v>-1.4999999999998135E-3</v>
      </c>
      <c r="H377" s="11">
        <f t="shared" si="23"/>
        <v>1.012049999999993</v>
      </c>
    </row>
    <row r="378" spans="1:8" ht="13.8" thickBot="1">
      <c r="A378" s="20">
        <v>37.5</v>
      </c>
      <c r="B378" s="14">
        <v>0.95494000000000001</v>
      </c>
      <c r="C378" s="10">
        <f t="shared" si="20"/>
        <v>-1.40000000000027E-3</v>
      </c>
      <c r="D378" s="11">
        <f t="shared" si="21"/>
        <v>1.0074400000000101</v>
      </c>
      <c r="E378" s="20">
        <v>37.5</v>
      </c>
      <c r="F378" s="14">
        <v>0.95579999999999998</v>
      </c>
      <c r="G378" s="10">
        <f t="shared" si="22"/>
        <v>-1.40000000000027E-3</v>
      </c>
      <c r="H378" s="11">
        <f t="shared" si="23"/>
        <v>1.0083000000000102</v>
      </c>
    </row>
    <row r="379" spans="1:8" ht="13.8" thickBot="1">
      <c r="A379" s="20">
        <v>37.6</v>
      </c>
      <c r="B379" s="14">
        <v>0.95479999999999998</v>
      </c>
      <c r="C379" s="10">
        <f t="shared" si="20"/>
        <v>-1.4999999999998135E-3</v>
      </c>
      <c r="D379" s="11">
        <f t="shared" si="21"/>
        <v>1.011199999999993</v>
      </c>
      <c r="E379" s="20">
        <v>37.6</v>
      </c>
      <c r="F379" s="14">
        <v>0.95565999999999995</v>
      </c>
      <c r="G379" s="10">
        <f t="shared" si="22"/>
        <v>-1.4999999999998135E-3</v>
      </c>
      <c r="H379" s="11">
        <f t="shared" si="23"/>
        <v>1.0120599999999929</v>
      </c>
    </row>
    <row r="380" spans="1:8" ht="13.8" thickBot="1">
      <c r="A380" s="20">
        <v>37.700000000000003</v>
      </c>
      <c r="B380" s="14">
        <v>0.95465</v>
      </c>
      <c r="C380" s="10">
        <f t="shared" si="20"/>
        <v>-1.4000000000003695E-3</v>
      </c>
      <c r="D380" s="11">
        <f t="shared" si="21"/>
        <v>1.007430000000014</v>
      </c>
      <c r="E380" s="20">
        <v>37.700000000000003</v>
      </c>
      <c r="F380" s="14">
        <v>0.95550999999999997</v>
      </c>
      <c r="G380" s="10">
        <f t="shared" si="22"/>
        <v>-1.399999999999259E-3</v>
      </c>
      <c r="H380" s="11">
        <f t="shared" si="23"/>
        <v>1.0082899999999722</v>
      </c>
    </row>
    <row r="381" spans="1:8" ht="13.8" thickBot="1">
      <c r="A381" s="20">
        <v>37.799999999999997</v>
      </c>
      <c r="B381" s="14">
        <v>0.95450999999999997</v>
      </c>
      <c r="C381" s="10">
        <f t="shared" si="20"/>
        <v>-1.4999999999998135E-3</v>
      </c>
      <c r="D381" s="11">
        <f t="shared" si="21"/>
        <v>1.0112099999999928</v>
      </c>
      <c r="E381" s="20">
        <v>37.799999999999997</v>
      </c>
      <c r="F381" s="14">
        <v>0.95537000000000005</v>
      </c>
      <c r="G381" s="10">
        <f t="shared" si="22"/>
        <v>-1.5000000000009236E-3</v>
      </c>
      <c r="H381" s="11">
        <f t="shared" si="23"/>
        <v>1.0120700000000349</v>
      </c>
    </row>
    <row r="382" spans="1:8" ht="13.8" thickBot="1">
      <c r="A382" s="20">
        <v>37.9</v>
      </c>
      <c r="B382" s="14">
        <v>0.95435999999999999</v>
      </c>
      <c r="C382" s="10">
        <f t="shared" si="20"/>
        <v>-1.40000000000027E-3</v>
      </c>
      <c r="D382" s="11">
        <f t="shared" si="21"/>
        <v>1.0074200000000102</v>
      </c>
      <c r="E382" s="20">
        <v>37.9</v>
      </c>
      <c r="F382" s="14">
        <v>0.95521999999999996</v>
      </c>
      <c r="G382" s="10">
        <f t="shared" si="22"/>
        <v>-1.3999999999991597E-3</v>
      </c>
      <c r="H382" s="11">
        <f t="shared" si="23"/>
        <v>1.0082799999999681</v>
      </c>
    </row>
    <row r="383" spans="1:8" ht="13.8" thickBot="1">
      <c r="A383" s="22">
        <v>38</v>
      </c>
      <c r="B383" s="17">
        <v>0.95421999999999996</v>
      </c>
      <c r="C383" s="10">
        <f t="shared" si="20"/>
        <v>-1.4999999999998135E-3</v>
      </c>
      <c r="D383" s="11">
        <f t="shared" si="21"/>
        <v>1.0112199999999929</v>
      </c>
      <c r="E383" s="22">
        <v>38</v>
      </c>
      <c r="F383" s="17">
        <v>0.95508000000000004</v>
      </c>
      <c r="G383" s="10">
        <f t="shared" si="22"/>
        <v>-1.5000000000009236E-3</v>
      </c>
      <c r="H383" s="11">
        <f t="shared" si="23"/>
        <v>1.0120800000000352</v>
      </c>
    </row>
    <row r="384" spans="1:8" ht="13.8" thickBot="1">
      <c r="A384" s="20">
        <v>38.1</v>
      </c>
      <c r="B384" s="14">
        <v>0.95406999999999997</v>
      </c>
      <c r="C384" s="10">
        <f t="shared" si="20"/>
        <v>-1.4999999999998135E-3</v>
      </c>
      <c r="D384" s="11">
        <f t="shared" si="21"/>
        <v>1.0112199999999929</v>
      </c>
      <c r="E384" s="20">
        <v>38.1</v>
      </c>
      <c r="F384" s="14">
        <v>0.95492999999999995</v>
      </c>
      <c r="G384" s="10">
        <f t="shared" si="22"/>
        <v>-1.4999999999998135E-3</v>
      </c>
      <c r="H384" s="11">
        <f t="shared" si="23"/>
        <v>1.012079999999993</v>
      </c>
    </row>
    <row r="385" spans="1:8" ht="13.8" thickBot="1">
      <c r="A385" s="20">
        <v>38.200000000000003</v>
      </c>
      <c r="B385" s="14">
        <v>0.95391999999999999</v>
      </c>
      <c r="C385" s="10">
        <f t="shared" si="20"/>
        <v>-1.4000000000003695E-3</v>
      </c>
      <c r="D385" s="11">
        <f t="shared" si="21"/>
        <v>1.0074000000000141</v>
      </c>
      <c r="E385" s="20">
        <v>38.200000000000003</v>
      </c>
      <c r="F385" s="14">
        <v>0.95477999999999996</v>
      </c>
      <c r="G385" s="10">
        <f t="shared" si="22"/>
        <v>-1.399999999999259E-3</v>
      </c>
      <c r="H385" s="11">
        <f t="shared" si="23"/>
        <v>1.0082599999999715</v>
      </c>
    </row>
    <row r="386" spans="1:8" ht="13.8" thickBot="1">
      <c r="A386" s="20">
        <v>38.299999999999997</v>
      </c>
      <c r="B386" s="14">
        <v>0.95377999999999996</v>
      </c>
      <c r="C386" s="10">
        <f t="shared" si="20"/>
        <v>-1.4999999999998135E-3</v>
      </c>
      <c r="D386" s="11">
        <f t="shared" si="21"/>
        <v>1.011229999999993</v>
      </c>
      <c r="E386" s="20">
        <v>38.299999999999997</v>
      </c>
      <c r="F386" s="14">
        <v>0.95464000000000004</v>
      </c>
      <c r="G386" s="10">
        <f t="shared" si="22"/>
        <v>-1.5000000000009236E-3</v>
      </c>
      <c r="H386" s="11">
        <f t="shared" si="23"/>
        <v>1.0120900000000355</v>
      </c>
    </row>
    <row r="387" spans="1:8" ht="13.8" thickBot="1">
      <c r="A387" s="20">
        <v>38.4</v>
      </c>
      <c r="B387" s="14">
        <v>0.95362999999999998</v>
      </c>
      <c r="C387" s="10">
        <f t="shared" si="20"/>
        <v>-1.4999999999998135E-3</v>
      </c>
      <c r="D387" s="11">
        <f t="shared" si="21"/>
        <v>1.0112299999999927</v>
      </c>
      <c r="E387" s="20">
        <v>38.4</v>
      </c>
      <c r="F387" s="14">
        <v>0.95448999999999995</v>
      </c>
      <c r="G387" s="10">
        <f t="shared" si="22"/>
        <v>-1.4999999999998135E-3</v>
      </c>
      <c r="H387" s="11">
        <f t="shared" si="23"/>
        <v>1.0120899999999928</v>
      </c>
    </row>
    <row r="388" spans="1:8" ht="13.8" thickBot="1">
      <c r="A388" s="20">
        <v>38.5</v>
      </c>
      <c r="B388" s="14">
        <v>0.95347999999999999</v>
      </c>
      <c r="C388" s="10">
        <f t="shared" ref="C388:C451" si="24">SLOPE(B388:B389,A388:A389)</f>
        <v>-1.4999999999998135E-3</v>
      </c>
      <c r="D388" s="11">
        <f t="shared" ref="D388:D451" si="25">INTERCEPT(B388:B389,A388:A389)</f>
        <v>1.011229999999993</v>
      </c>
      <c r="E388" s="20">
        <v>38.5</v>
      </c>
      <c r="F388" s="14">
        <v>0.95433999999999997</v>
      </c>
      <c r="G388" s="10">
        <f t="shared" ref="G388:G451" si="26">SLOPE(F388:F389,E388:E389)</f>
        <v>-1.4999999999998135E-3</v>
      </c>
      <c r="H388" s="11">
        <f t="shared" ref="H388:H451" si="27">INTERCEPT(F388:F389,E388:E389)</f>
        <v>1.0120899999999928</v>
      </c>
    </row>
    <row r="389" spans="1:8" ht="13.8" thickBot="1">
      <c r="A389" s="20">
        <v>38.6</v>
      </c>
      <c r="B389" s="14">
        <v>0.95333000000000001</v>
      </c>
      <c r="C389" s="10">
        <f t="shared" si="24"/>
        <v>-1.4999999999998135E-3</v>
      </c>
      <c r="D389" s="11">
        <f t="shared" si="25"/>
        <v>1.0112299999999927</v>
      </c>
      <c r="E389" s="20">
        <v>38.6</v>
      </c>
      <c r="F389" s="14">
        <v>0.95418999999999998</v>
      </c>
      <c r="G389" s="10">
        <f t="shared" si="26"/>
        <v>-1.4999999999998135E-3</v>
      </c>
      <c r="H389" s="11">
        <f t="shared" si="27"/>
        <v>1.0120899999999928</v>
      </c>
    </row>
    <row r="390" spans="1:8" ht="13.8" thickBot="1">
      <c r="A390" s="20">
        <v>38.700000000000003</v>
      </c>
      <c r="B390" s="14">
        <v>0.95318000000000003</v>
      </c>
      <c r="C390" s="10">
        <f t="shared" si="24"/>
        <v>-1.4999999999999198E-3</v>
      </c>
      <c r="D390" s="11">
        <f t="shared" si="25"/>
        <v>1.011229999999997</v>
      </c>
      <c r="E390" s="20">
        <v>38.700000000000003</v>
      </c>
      <c r="F390" s="14">
        <v>0.95404</v>
      </c>
      <c r="G390" s="10">
        <f t="shared" si="26"/>
        <v>-1.4999999999999198E-3</v>
      </c>
      <c r="H390" s="11">
        <f t="shared" si="27"/>
        <v>1.0120899999999968</v>
      </c>
    </row>
    <row r="391" spans="1:8" ht="13.8" thickBot="1">
      <c r="A391" s="20">
        <v>38.799999999999997</v>
      </c>
      <c r="B391" s="14">
        <v>0.95303000000000004</v>
      </c>
      <c r="C391" s="10">
        <f t="shared" si="24"/>
        <v>-1.5000000000009236E-3</v>
      </c>
      <c r="D391" s="11">
        <f t="shared" si="25"/>
        <v>1.0112300000000358</v>
      </c>
      <c r="E391" s="20">
        <v>38.799999999999997</v>
      </c>
      <c r="F391" s="14">
        <v>0.95389000000000002</v>
      </c>
      <c r="G391" s="10">
        <f t="shared" si="26"/>
        <v>-1.4999999999998135E-3</v>
      </c>
      <c r="H391" s="11">
        <f t="shared" si="27"/>
        <v>1.0120899999999928</v>
      </c>
    </row>
    <row r="392" spans="1:8" ht="13.8" thickBot="1">
      <c r="A392" s="20">
        <v>38.9</v>
      </c>
      <c r="B392" s="14">
        <v>0.95287999999999995</v>
      </c>
      <c r="C392" s="10">
        <f t="shared" si="24"/>
        <v>-1.4999999999998135E-3</v>
      </c>
      <c r="D392" s="11">
        <f t="shared" si="25"/>
        <v>1.0112299999999927</v>
      </c>
      <c r="E392" s="20">
        <v>38.9</v>
      </c>
      <c r="F392" s="14">
        <v>0.95374000000000003</v>
      </c>
      <c r="G392" s="10">
        <f t="shared" si="26"/>
        <v>-1.4999999999998135E-3</v>
      </c>
      <c r="H392" s="11">
        <f t="shared" si="27"/>
        <v>1.0120899999999928</v>
      </c>
    </row>
    <row r="393" spans="1:8" ht="13.8" thickBot="1">
      <c r="A393" s="22">
        <v>39</v>
      </c>
      <c r="B393" s="17">
        <v>0.95272999999999997</v>
      </c>
      <c r="C393" s="10">
        <f t="shared" si="24"/>
        <v>-1.4999999999998135E-3</v>
      </c>
      <c r="D393" s="11">
        <f t="shared" si="25"/>
        <v>1.0112299999999927</v>
      </c>
      <c r="E393" s="22">
        <v>39</v>
      </c>
      <c r="F393" s="17">
        <v>0.95359000000000005</v>
      </c>
      <c r="G393" s="10">
        <f t="shared" si="26"/>
        <v>-1.5000000000009236E-3</v>
      </c>
      <c r="H393" s="11">
        <f t="shared" si="27"/>
        <v>1.0120900000000361</v>
      </c>
    </row>
    <row r="394" spans="1:8" ht="13.8" thickBot="1">
      <c r="A394" s="20">
        <v>39.1</v>
      </c>
      <c r="B394" s="14">
        <v>0.95257999999999998</v>
      </c>
      <c r="C394" s="10">
        <f t="shared" si="24"/>
        <v>-1.4999999999998135E-3</v>
      </c>
      <c r="D394" s="11">
        <f t="shared" si="25"/>
        <v>1.0112299999999927</v>
      </c>
      <c r="E394" s="20">
        <v>39.1</v>
      </c>
      <c r="F394" s="14">
        <v>0.95343999999999995</v>
      </c>
      <c r="G394" s="10">
        <f t="shared" si="26"/>
        <v>-1.4999999999998135E-3</v>
      </c>
      <c r="H394" s="11">
        <f t="shared" si="27"/>
        <v>1.0120899999999928</v>
      </c>
    </row>
    <row r="395" spans="1:8" ht="13.8" thickBot="1">
      <c r="A395" s="20">
        <v>39.200000000000003</v>
      </c>
      <c r="B395" s="14">
        <v>0.95243</v>
      </c>
      <c r="C395" s="10">
        <f t="shared" si="24"/>
        <v>-1.4999999999999198E-3</v>
      </c>
      <c r="D395" s="11">
        <f t="shared" si="25"/>
        <v>1.011229999999997</v>
      </c>
      <c r="E395" s="20">
        <v>39.200000000000003</v>
      </c>
      <c r="F395" s="14">
        <v>0.95328999999999997</v>
      </c>
      <c r="G395" s="10">
        <f t="shared" si="26"/>
        <v>-1.4999999999999198E-3</v>
      </c>
      <c r="H395" s="11">
        <f t="shared" si="27"/>
        <v>1.0120899999999968</v>
      </c>
    </row>
    <row r="396" spans="1:8" ht="13.8" thickBot="1">
      <c r="A396" s="20">
        <v>39.299999999999997</v>
      </c>
      <c r="B396" s="14">
        <v>0.95228000000000002</v>
      </c>
      <c r="C396" s="10">
        <f t="shared" si="24"/>
        <v>-1.4999999999998135E-3</v>
      </c>
      <c r="D396" s="11">
        <f t="shared" si="25"/>
        <v>1.0112299999999925</v>
      </c>
      <c r="E396" s="20">
        <v>39.299999999999997</v>
      </c>
      <c r="F396" s="14">
        <v>0.95313999999999999</v>
      </c>
      <c r="G396" s="10">
        <f t="shared" si="26"/>
        <v>-1.4999999999998135E-3</v>
      </c>
      <c r="H396" s="11">
        <f t="shared" si="27"/>
        <v>1.0120899999999926</v>
      </c>
    </row>
    <row r="397" spans="1:8" ht="13.8" thickBot="1">
      <c r="A397" s="20">
        <v>39.4</v>
      </c>
      <c r="B397" s="14">
        <v>0.95213000000000003</v>
      </c>
      <c r="C397" s="10">
        <f t="shared" si="24"/>
        <v>-1.4999999999998135E-3</v>
      </c>
      <c r="D397" s="11">
        <f t="shared" si="25"/>
        <v>1.0112299999999927</v>
      </c>
      <c r="E397" s="20">
        <v>39.4</v>
      </c>
      <c r="F397" s="14">
        <v>0.95299</v>
      </c>
      <c r="G397" s="10">
        <f t="shared" si="26"/>
        <v>-1.4999999999998135E-3</v>
      </c>
      <c r="H397" s="11">
        <f t="shared" si="27"/>
        <v>1.0120899999999926</v>
      </c>
    </row>
    <row r="398" spans="1:8" ht="13.8" thickBot="1">
      <c r="A398" s="20">
        <v>39.5</v>
      </c>
      <c r="B398" s="14">
        <v>0.95198000000000005</v>
      </c>
      <c r="C398" s="10">
        <f t="shared" si="24"/>
        <v>-1.6000000000004669E-3</v>
      </c>
      <c r="D398" s="11">
        <f t="shared" si="25"/>
        <v>1.0151800000000184</v>
      </c>
      <c r="E398" s="20">
        <v>39.5</v>
      </c>
      <c r="F398" s="14">
        <v>0.95284000000000002</v>
      </c>
      <c r="G398" s="10">
        <f t="shared" si="26"/>
        <v>-1.6000000000004669E-3</v>
      </c>
      <c r="H398" s="11">
        <f t="shared" si="27"/>
        <v>1.0160400000000185</v>
      </c>
    </row>
    <row r="399" spans="1:8" ht="13.8" thickBot="1">
      <c r="A399" s="20">
        <v>39.6</v>
      </c>
      <c r="B399" s="14">
        <v>0.95182</v>
      </c>
      <c r="C399" s="10">
        <f t="shared" si="24"/>
        <v>-1.4999999999998135E-3</v>
      </c>
      <c r="D399" s="11">
        <f t="shared" si="25"/>
        <v>1.0112199999999927</v>
      </c>
      <c r="E399" s="20">
        <v>39.6</v>
      </c>
      <c r="F399" s="14">
        <v>0.95267999999999997</v>
      </c>
      <c r="G399" s="10">
        <f t="shared" si="26"/>
        <v>-1.4999999999998135E-3</v>
      </c>
      <c r="H399" s="11">
        <f t="shared" si="27"/>
        <v>1.0120799999999925</v>
      </c>
    </row>
    <row r="400" spans="1:8" ht="13.8" thickBot="1">
      <c r="A400" s="20">
        <v>39.700000000000003</v>
      </c>
      <c r="B400" s="14">
        <v>0.95167000000000002</v>
      </c>
      <c r="C400" s="10">
        <f t="shared" si="24"/>
        <v>-1.4999999999999198E-3</v>
      </c>
      <c r="D400" s="11">
        <f t="shared" si="25"/>
        <v>1.0112199999999967</v>
      </c>
      <c r="E400" s="20">
        <v>39.700000000000003</v>
      </c>
      <c r="F400" s="14">
        <v>0.95252999999999999</v>
      </c>
      <c r="G400" s="10">
        <f t="shared" si="26"/>
        <v>-1.4999999999999198E-3</v>
      </c>
      <c r="H400" s="11">
        <f t="shared" si="27"/>
        <v>1.0120799999999968</v>
      </c>
    </row>
    <row r="401" spans="1:8" ht="13.8" thickBot="1">
      <c r="A401" s="20">
        <v>39.799999999999997</v>
      </c>
      <c r="B401" s="14">
        <v>0.95152000000000003</v>
      </c>
      <c r="C401" s="10">
        <f t="shared" si="24"/>
        <v>-1.6000000000004669E-3</v>
      </c>
      <c r="D401" s="11">
        <f t="shared" si="25"/>
        <v>1.0152000000000188</v>
      </c>
      <c r="E401" s="20">
        <v>39.799999999999997</v>
      </c>
      <c r="F401" s="14">
        <v>0.95238</v>
      </c>
      <c r="G401" s="10">
        <f t="shared" si="26"/>
        <v>-1.6000000000004669E-3</v>
      </c>
      <c r="H401" s="11">
        <f t="shared" si="27"/>
        <v>1.0160600000000186</v>
      </c>
    </row>
    <row r="402" spans="1:8" ht="13.8" thickBot="1">
      <c r="A402" s="20">
        <v>39.9</v>
      </c>
      <c r="B402" s="14">
        <v>0.95135999999999998</v>
      </c>
      <c r="C402" s="10">
        <f t="shared" si="24"/>
        <v>-1.4999999999998135E-3</v>
      </c>
      <c r="D402" s="11">
        <f t="shared" si="25"/>
        <v>1.0112099999999924</v>
      </c>
      <c r="E402" s="20">
        <v>39.9</v>
      </c>
      <c r="F402" s="14">
        <v>0.95221999999999996</v>
      </c>
      <c r="G402" s="10">
        <f t="shared" si="26"/>
        <v>-1.4999999999998135E-3</v>
      </c>
      <c r="H402" s="11">
        <f t="shared" si="27"/>
        <v>1.0120699999999925</v>
      </c>
    </row>
    <row r="403" spans="1:8" ht="13.8" thickBot="1">
      <c r="A403" s="22">
        <v>40</v>
      </c>
      <c r="B403" s="17">
        <v>0.95121</v>
      </c>
      <c r="C403" s="10">
        <f t="shared" si="24"/>
        <v>-1.6000000000004669E-3</v>
      </c>
      <c r="D403" s="11">
        <f t="shared" si="25"/>
        <v>1.0152100000000188</v>
      </c>
      <c r="E403" s="22">
        <v>40</v>
      </c>
      <c r="F403" s="17">
        <v>0.95206999999999997</v>
      </c>
      <c r="G403" s="10">
        <f t="shared" si="26"/>
        <v>-1.5999999999993571E-3</v>
      </c>
      <c r="H403" s="11">
        <f t="shared" si="27"/>
        <v>1.0160699999999743</v>
      </c>
    </row>
    <row r="404" spans="1:8" ht="13.8" thickBot="1">
      <c r="A404" s="13">
        <v>40.1</v>
      </c>
      <c r="B404" s="14">
        <v>0.95104999999999995</v>
      </c>
      <c r="C404" s="10">
        <f t="shared" si="24"/>
        <v>-1.4999999999998135E-3</v>
      </c>
      <c r="D404" s="11">
        <f t="shared" si="25"/>
        <v>1.0111999999999923</v>
      </c>
      <c r="E404" s="13">
        <v>40.1</v>
      </c>
      <c r="F404" s="14">
        <v>0.95191000000000003</v>
      </c>
      <c r="G404" s="10">
        <f t="shared" si="26"/>
        <v>-1.4999999999998135E-3</v>
      </c>
      <c r="H404" s="11">
        <f t="shared" si="27"/>
        <v>1.0120599999999924</v>
      </c>
    </row>
    <row r="405" spans="1:8" ht="13.8" thickBot="1">
      <c r="A405" s="13">
        <v>40.200000000000003</v>
      </c>
      <c r="B405" s="14">
        <v>0.95089999999999997</v>
      </c>
      <c r="C405" s="10">
        <f t="shared" si="24"/>
        <v>-1.5999999999994706E-3</v>
      </c>
      <c r="D405" s="11">
        <f t="shared" si="25"/>
        <v>1.0152199999999787</v>
      </c>
      <c r="E405" s="13">
        <v>40.200000000000003</v>
      </c>
      <c r="F405" s="14">
        <v>0.95176000000000005</v>
      </c>
      <c r="G405" s="10">
        <f t="shared" si="26"/>
        <v>-1.6000000000005808E-3</v>
      </c>
      <c r="H405" s="11">
        <f t="shared" si="27"/>
        <v>1.0160800000000234</v>
      </c>
    </row>
    <row r="406" spans="1:8" ht="13.8" thickBot="1">
      <c r="A406" s="13">
        <v>40.299999999999997</v>
      </c>
      <c r="B406" s="14">
        <v>0.95074000000000003</v>
      </c>
      <c r="C406" s="10">
        <f t="shared" si="24"/>
        <v>-1.4999999999998135E-3</v>
      </c>
      <c r="D406" s="11">
        <f t="shared" si="25"/>
        <v>1.0111899999999925</v>
      </c>
      <c r="E406" s="13">
        <v>40.299999999999997</v>
      </c>
      <c r="F406" s="14">
        <v>0.9516</v>
      </c>
      <c r="G406" s="10">
        <f t="shared" si="26"/>
        <v>-1.4999999999998135E-3</v>
      </c>
      <c r="H406" s="11">
        <f t="shared" si="27"/>
        <v>1.0120499999999923</v>
      </c>
    </row>
    <row r="407" spans="1:8" ht="13.8" thickBot="1">
      <c r="A407" s="13">
        <v>40.4</v>
      </c>
      <c r="B407" s="14">
        <v>0.95059000000000005</v>
      </c>
      <c r="C407" s="10">
        <f t="shared" si="24"/>
        <v>-1.6000000000004669E-3</v>
      </c>
      <c r="D407" s="11">
        <f t="shared" si="25"/>
        <v>1.015230000000019</v>
      </c>
      <c r="E407" s="13">
        <v>40.4</v>
      </c>
      <c r="F407" s="14">
        <v>0.95145000000000002</v>
      </c>
      <c r="G407" s="10">
        <f t="shared" si="26"/>
        <v>-1.6000000000004669E-3</v>
      </c>
      <c r="H407" s="11">
        <f t="shared" si="27"/>
        <v>1.016090000000019</v>
      </c>
    </row>
    <row r="408" spans="1:8" ht="13.8" thickBot="1">
      <c r="A408" s="13">
        <v>40.5</v>
      </c>
      <c r="B408" s="14">
        <v>0.95043</v>
      </c>
      <c r="C408" s="10">
        <f t="shared" si="24"/>
        <v>-1.6000000000004669E-3</v>
      </c>
      <c r="D408" s="11">
        <f t="shared" si="25"/>
        <v>1.015230000000019</v>
      </c>
      <c r="E408" s="13">
        <v>40.5</v>
      </c>
      <c r="F408" s="14">
        <v>0.95128999999999997</v>
      </c>
      <c r="G408" s="10">
        <f t="shared" si="26"/>
        <v>-1.5999999999993571E-3</v>
      </c>
      <c r="H408" s="11">
        <f t="shared" si="27"/>
        <v>1.016089999999974</v>
      </c>
    </row>
    <row r="409" spans="1:8" ht="13.8" thickBot="1">
      <c r="A409" s="13">
        <v>40.6</v>
      </c>
      <c r="B409" s="14">
        <v>0.95026999999999995</v>
      </c>
      <c r="C409" s="10">
        <f t="shared" si="24"/>
        <v>-1.4999999999998135E-3</v>
      </c>
      <c r="D409" s="11">
        <f t="shared" si="25"/>
        <v>1.0111699999999924</v>
      </c>
      <c r="E409" s="13">
        <v>40.6</v>
      </c>
      <c r="F409" s="14">
        <v>0.95113000000000003</v>
      </c>
      <c r="G409" s="10">
        <f t="shared" si="26"/>
        <v>-1.4999999999998135E-3</v>
      </c>
      <c r="H409" s="11">
        <f t="shared" si="27"/>
        <v>1.0120299999999924</v>
      </c>
    </row>
    <row r="410" spans="1:8" ht="13.8" thickBot="1">
      <c r="A410" s="13">
        <v>40.700000000000003</v>
      </c>
      <c r="B410" s="14">
        <v>0.95011999999999996</v>
      </c>
      <c r="C410" s="10">
        <f t="shared" si="24"/>
        <v>-1.5999999999994706E-3</v>
      </c>
      <c r="D410" s="11">
        <f t="shared" si="25"/>
        <v>1.0152399999999784</v>
      </c>
      <c r="E410" s="13">
        <v>40.700000000000003</v>
      </c>
      <c r="F410" s="14">
        <v>0.95098000000000005</v>
      </c>
      <c r="G410" s="10">
        <f t="shared" si="26"/>
        <v>-1.6000000000005808E-3</v>
      </c>
      <c r="H410" s="11">
        <f t="shared" si="27"/>
        <v>1.0161000000000238</v>
      </c>
    </row>
    <row r="411" spans="1:8" ht="13.8" thickBot="1">
      <c r="A411" s="13">
        <v>40.799999999999997</v>
      </c>
      <c r="B411" s="14">
        <v>0.94996000000000003</v>
      </c>
      <c r="C411" s="10">
        <f t="shared" si="24"/>
        <v>-1.6000000000004669E-3</v>
      </c>
      <c r="D411" s="11">
        <f t="shared" si="25"/>
        <v>1.015240000000019</v>
      </c>
      <c r="E411" s="13">
        <v>40.799999999999997</v>
      </c>
      <c r="F411" s="14">
        <v>0.95082</v>
      </c>
      <c r="G411" s="10">
        <f t="shared" si="26"/>
        <v>-1.6000000000004669E-3</v>
      </c>
      <c r="H411" s="11">
        <f t="shared" si="27"/>
        <v>1.0161000000000189</v>
      </c>
    </row>
    <row r="412" spans="1:8" ht="13.8" thickBot="1">
      <c r="A412" s="15">
        <v>40.9</v>
      </c>
      <c r="B412" s="16">
        <v>0.94979999999999998</v>
      </c>
      <c r="C412" s="10">
        <f t="shared" si="24"/>
        <v>-1.5999999999993571E-3</v>
      </c>
      <c r="D412" s="11">
        <f t="shared" si="25"/>
        <v>1.0152399999999737</v>
      </c>
      <c r="E412" s="15">
        <v>40.9</v>
      </c>
      <c r="F412" s="16">
        <v>0.95065999999999995</v>
      </c>
      <c r="G412" s="10">
        <f t="shared" si="26"/>
        <v>-1.5999999999993571E-3</v>
      </c>
      <c r="H412" s="11">
        <f t="shared" si="27"/>
        <v>1.0160999999999736</v>
      </c>
    </row>
    <row r="413" spans="1:8" ht="13.8" thickBot="1">
      <c r="A413" s="15">
        <v>41</v>
      </c>
      <c r="B413" s="16">
        <v>0.94964000000000004</v>
      </c>
      <c r="C413" s="10">
        <f t="shared" si="24"/>
        <v>-1.6000000000004669E-3</v>
      </c>
      <c r="D413" s="11">
        <f t="shared" si="25"/>
        <v>1.015240000000019</v>
      </c>
      <c r="E413" s="15">
        <v>41</v>
      </c>
      <c r="F413" s="16">
        <v>0.95050000000000001</v>
      </c>
      <c r="G413" s="10">
        <f t="shared" si="26"/>
        <v>-1.6000000000004669E-3</v>
      </c>
      <c r="H413" s="11">
        <f t="shared" si="27"/>
        <v>1.0161000000000193</v>
      </c>
    </row>
    <row r="414" spans="1:8" ht="13.8" thickBot="1">
      <c r="A414" s="13">
        <v>41.1</v>
      </c>
      <c r="B414" s="14">
        <v>0.94947999999999999</v>
      </c>
      <c r="C414" s="10">
        <f t="shared" si="24"/>
        <v>-1.5999999999993571E-3</v>
      </c>
      <c r="D414" s="11">
        <f t="shared" si="25"/>
        <v>1.0152399999999735</v>
      </c>
      <c r="E414" s="13">
        <v>41.1</v>
      </c>
      <c r="F414" s="14">
        <v>0.95033999999999996</v>
      </c>
      <c r="G414" s="10">
        <f t="shared" si="26"/>
        <v>-1.5999999999993571E-3</v>
      </c>
      <c r="H414" s="11">
        <f t="shared" si="27"/>
        <v>1.0160999999999736</v>
      </c>
    </row>
    <row r="415" spans="1:8" ht="13.8" thickBot="1">
      <c r="A415" s="13">
        <v>41.2</v>
      </c>
      <c r="B415" s="14">
        <v>0.94932000000000005</v>
      </c>
      <c r="C415" s="10">
        <f t="shared" si="24"/>
        <v>-1.6000000000005808E-3</v>
      </c>
      <c r="D415" s="11">
        <f t="shared" si="25"/>
        <v>1.0152400000000241</v>
      </c>
      <c r="E415" s="13">
        <v>41.2</v>
      </c>
      <c r="F415" s="14">
        <v>0.95018000000000002</v>
      </c>
      <c r="G415" s="10">
        <f t="shared" si="26"/>
        <v>-1.6000000000005808E-3</v>
      </c>
      <c r="H415" s="11">
        <f t="shared" si="27"/>
        <v>1.016100000000024</v>
      </c>
    </row>
    <row r="416" spans="1:8" ht="13.8" thickBot="1">
      <c r="A416" s="13">
        <v>41.3</v>
      </c>
      <c r="B416" s="14">
        <v>0.94916</v>
      </c>
      <c r="C416" s="10">
        <f t="shared" si="24"/>
        <v>-1.6000000000004669E-3</v>
      </c>
      <c r="D416" s="11">
        <f t="shared" si="25"/>
        <v>1.0152400000000192</v>
      </c>
      <c r="E416" s="13">
        <v>41.3</v>
      </c>
      <c r="F416" s="14">
        <v>0.95001999999999998</v>
      </c>
      <c r="G416" s="10">
        <f t="shared" si="26"/>
        <v>-1.7000000000000105E-3</v>
      </c>
      <c r="H416" s="11">
        <f t="shared" si="27"/>
        <v>1.0202300000000004</v>
      </c>
    </row>
    <row r="417" spans="1:8" ht="13.8" thickBot="1">
      <c r="A417" s="13">
        <v>41.4</v>
      </c>
      <c r="B417" s="14">
        <v>0.94899999999999995</v>
      </c>
      <c r="C417" s="10">
        <f t="shared" si="24"/>
        <v>-1.5999999999993571E-3</v>
      </c>
      <c r="D417" s="11">
        <f t="shared" si="25"/>
        <v>1.0152399999999733</v>
      </c>
      <c r="E417" s="13">
        <v>41.4</v>
      </c>
      <c r="F417" s="14">
        <v>0.94984999999999997</v>
      </c>
      <c r="G417" s="10">
        <f t="shared" si="26"/>
        <v>-1.5999999999993571E-3</v>
      </c>
      <c r="H417" s="11">
        <f t="shared" si="27"/>
        <v>1.0160899999999733</v>
      </c>
    </row>
    <row r="418" spans="1:8" ht="13.8" thickBot="1">
      <c r="A418" s="13">
        <v>41.5</v>
      </c>
      <c r="B418" s="14">
        <v>0.94884000000000002</v>
      </c>
      <c r="C418" s="10">
        <f t="shared" si="24"/>
        <v>-1.6000000000004669E-3</v>
      </c>
      <c r="D418" s="11">
        <f t="shared" si="25"/>
        <v>1.0152400000000195</v>
      </c>
      <c r="E418" s="13">
        <v>41.5</v>
      </c>
      <c r="F418" s="14">
        <v>0.94969000000000003</v>
      </c>
      <c r="G418" s="10">
        <f t="shared" si="26"/>
        <v>-1.6000000000004669E-3</v>
      </c>
      <c r="H418" s="11">
        <f t="shared" si="27"/>
        <v>1.0160900000000195</v>
      </c>
    </row>
    <row r="419" spans="1:8" ht="13.8" thickBot="1">
      <c r="A419" s="13">
        <v>41.6</v>
      </c>
      <c r="B419" s="14">
        <v>0.94867999999999997</v>
      </c>
      <c r="C419" s="10">
        <f t="shared" si="24"/>
        <v>-1.5999999999993571E-3</v>
      </c>
      <c r="D419" s="11">
        <f t="shared" si="25"/>
        <v>1.0152399999999733</v>
      </c>
      <c r="E419" s="13">
        <v>41.6</v>
      </c>
      <c r="F419" s="14">
        <v>0.94952999999999999</v>
      </c>
      <c r="G419" s="10">
        <f t="shared" si="26"/>
        <v>-1.5999999999993571E-3</v>
      </c>
      <c r="H419" s="11">
        <f t="shared" si="27"/>
        <v>1.0160899999999733</v>
      </c>
    </row>
    <row r="420" spans="1:8" ht="13.8" thickBot="1">
      <c r="A420" s="13">
        <v>41.7</v>
      </c>
      <c r="B420" s="14">
        <v>0.94852000000000003</v>
      </c>
      <c r="C420" s="10">
        <f t="shared" si="24"/>
        <v>-1.6000000000005808E-3</v>
      </c>
      <c r="D420" s="11">
        <f t="shared" si="25"/>
        <v>1.0152400000000241</v>
      </c>
      <c r="E420" s="13">
        <v>41.7</v>
      </c>
      <c r="F420" s="14">
        <v>0.94937000000000005</v>
      </c>
      <c r="G420" s="10">
        <f t="shared" si="26"/>
        <v>-1.6000000000005808E-3</v>
      </c>
      <c r="H420" s="11">
        <f t="shared" si="27"/>
        <v>1.0160900000000241</v>
      </c>
    </row>
    <row r="421" spans="1:8" ht="13.8" thickBot="1">
      <c r="A421" s="13">
        <v>41.8</v>
      </c>
      <c r="B421" s="14">
        <v>0.94835999999999998</v>
      </c>
      <c r="C421" s="10">
        <f t="shared" si="24"/>
        <v>-1.5999999999993571E-3</v>
      </c>
      <c r="D421" s="11">
        <f t="shared" si="25"/>
        <v>1.0152399999999731</v>
      </c>
      <c r="E421" s="13">
        <v>41.8</v>
      </c>
      <c r="F421" s="14">
        <v>0.94921</v>
      </c>
      <c r="G421" s="10">
        <f t="shared" si="26"/>
        <v>-1.6000000000004669E-3</v>
      </c>
      <c r="H421" s="11">
        <f t="shared" si="27"/>
        <v>1.0160900000000195</v>
      </c>
    </row>
    <row r="422" spans="1:8" ht="13.8" thickBot="1">
      <c r="A422" s="13">
        <v>41.9</v>
      </c>
      <c r="B422" s="14">
        <v>0.94820000000000004</v>
      </c>
      <c r="C422" s="10">
        <f t="shared" si="24"/>
        <v>-1.7000000000000105E-3</v>
      </c>
      <c r="D422" s="11">
        <f t="shared" si="25"/>
        <v>1.0194300000000005</v>
      </c>
      <c r="E422" s="13">
        <v>41.9</v>
      </c>
      <c r="F422" s="14">
        <v>0.94904999999999995</v>
      </c>
      <c r="G422" s="10">
        <f t="shared" si="26"/>
        <v>-1.7000000000000105E-3</v>
      </c>
      <c r="H422" s="11">
        <f t="shared" si="27"/>
        <v>1.0202800000000003</v>
      </c>
    </row>
    <row r="423" spans="1:8" ht="13.8" thickBot="1">
      <c r="A423" s="8">
        <v>42</v>
      </c>
      <c r="B423" s="17">
        <v>0.94803000000000004</v>
      </c>
      <c r="C423" s="10">
        <f t="shared" si="24"/>
        <v>-1.6000000000004669E-3</v>
      </c>
      <c r="D423" s="11">
        <f t="shared" si="25"/>
        <v>1.0152300000000196</v>
      </c>
      <c r="E423" s="8">
        <v>42</v>
      </c>
      <c r="F423" s="17">
        <v>0.94887999999999995</v>
      </c>
      <c r="G423" s="10">
        <f t="shared" si="26"/>
        <v>-1.5999999999993571E-3</v>
      </c>
      <c r="H423" s="11">
        <f t="shared" si="27"/>
        <v>1.016079999999973</v>
      </c>
    </row>
    <row r="424" spans="1:8" ht="13.8" thickBot="1">
      <c r="A424" s="13">
        <v>42.1</v>
      </c>
      <c r="B424" s="14">
        <v>0.94786999999999999</v>
      </c>
      <c r="C424" s="10">
        <f t="shared" si="24"/>
        <v>-1.5999999999993571E-3</v>
      </c>
      <c r="D424" s="11">
        <f t="shared" si="25"/>
        <v>1.015229999999973</v>
      </c>
      <c r="E424" s="13">
        <v>42.1</v>
      </c>
      <c r="F424" s="14">
        <v>0.94872000000000001</v>
      </c>
      <c r="G424" s="10">
        <f t="shared" si="26"/>
        <v>-1.6000000000004669E-3</v>
      </c>
      <c r="H424" s="11">
        <f t="shared" si="27"/>
        <v>1.0160800000000196</v>
      </c>
    </row>
    <row r="425" spans="1:8" ht="13.8" thickBot="1">
      <c r="A425" s="13">
        <v>42.2</v>
      </c>
      <c r="B425" s="14">
        <v>0.94771000000000005</v>
      </c>
      <c r="C425" s="10">
        <f t="shared" si="24"/>
        <v>-1.7000000000001315E-3</v>
      </c>
      <c r="D425" s="11">
        <f t="shared" si="25"/>
        <v>1.0194500000000055</v>
      </c>
      <c r="E425" s="13">
        <v>42.2</v>
      </c>
      <c r="F425" s="14">
        <v>0.94855999999999996</v>
      </c>
      <c r="G425" s="10">
        <f t="shared" si="26"/>
        <v>-1.7000000000001315E-3</v>
      </c>
      <c r="H425" s="11">
        <f t="shared" si="27"/>
        <v>1.0203000000000055</v>
      </c>
    </row>
    <row r="426" spans="1:8" ht="13.8" thickBot="1">
      <c r="A426" s="13">
        <v>42.3</v>
      </c>
      <c r="B426" s="14">
        <v>0.94754000000000005</v>
      </c>
      <c r="C426" s="10">
        <f t="shared" si="24"/>
        <v>-1.6000000000004669E-3</v>
      </c>
      <c r="D426" s="11">
        <f t="shared" si="25"/>
        <v>1.0152200000000198</v>
      </c>
      <c r="E426" s="13">
        <v>42.3</v>
      </c>
      <c r="F426" s="14">
        <v>0.94838999999999996</v>
      </c>
      <c r="G426" s="10">
        <f t="shared" si="26"/>
        <v>-1.5999999999993571E-3</v>
      </c>
      <c r="H426" s="11">
        <f t="shared" si="27"/>
        <v>1.0160699999999727</v>
      </c>
    </row>
    <row r="427" spans="1:8" ht="13.8" thickBot="1">
      <c r="A427" s="13">
        <v>42.4</v>
      </c>
      <c r="B427" s="14">
        <v>0.94738</v>
      </c>
      <c r="C427" s="10">
        <f t="shared" si="24"/>
        <v>-1.7000000000000105E-3</v>
      </c>
      <c r="D427" s="11">
        <f t="shared" si="25"/>
        <v>1.0194600000000005</v>
      </c>
      <c r="E427" s="13">
        <v>42.4</v>
      </c>
      <c r="F427" s="14">
        <v>0.94823000000000002</v>
      </c>
      <c r="G427" s="10">
        <f t="shared" si="26"/>
        <v>-1.7000000000000105E-3</v>
      </c>
      <c r="H427" s="11">
        <f t="shared" si="27"/>
        <v>1.0203100000000005</v>
      </c>
    </row>
    <row r="428" spans="1:8" ht="13.8" thickBot="1">
      <c r="A428" s="13">
        <v>42.5</v>
      </c>
      <c r="B428" s="14">
        <v>0.94721</v>
      </c>
      <c r="C428" s="10">
        <f t="shared" si="24"/>
        <v>-1.6000000000004669E-3</v>
      </c>
      <c r="D428" s="11">
        <f t="shared" si="25"/>
        <v>1.0152100000000199</v>
      </c>
      <c r="E428" s="13">
        <v>42.5</v>
      </c>
      <c r="F428" s="14">
        <v>0.94806000000000001</v>
      </c>
      <c r="G428" s="10">
        <f t="shared" si="26"/>
        <v>-1.6000000000004669E-3</v>
      </c>
      <c r="H428" s="11">
        <f t="shared" si="27"/>
        <v>1.0160600000000199</v>
      </c>
    </row>
    <row r="429" spans="1:8" ht="13.8" thickBot="1">
      <c r="A429" s="13">
        <v>42.6</v>
      </c>
      <c r="B429" s="14">
        <v>0.94704999999999995</v>
      </c>
      <c r="C429" s="10">
        <f t="shared" si="24"/>
        <v>-1.6999999999989005E-3</v>
      </c>
      <c r="D429" s="11">
        <f t="shared" si="25"/>
        <v>1.0194699999999532</v>
      </c>
      <c r="E429" s="13">
        <v>42.6</v>
      </c>
      <c r="F429" s="14">
        <v>0.94789999999999996</v>
      </c>
      <c r="G429" s="10">
        <f t="shared" si="26"/>
        <v>-1.7000000000000105E-3</v>
      </c>
      <c r="H429" s="11">
        <f t="shared" si="27"/>
        <v>1.0203200000000003</v>
      </c>
    </row>
    <row r="430" spans="1:8" ht="13.8" thickBot="1">
      <c r="A430" s="13">
        <v>42.7</v>
      </c>
      <c r="B430" s="14">
        <v>0.94688000000000005</v>
      </c>
      <c r="C430" s="10">
        <f t="shared" si="24"/>
        <v>-1.6000000000005808E-3</v>
      </c>
      <c r="D430" s="11">
        <f t="shared" si="25"/>
        <v>1.015200000000025</v>
      </c>
      <c r="E430" s="13">
        <v>42.7</v>
      </c>
      <c r="F430" s="14">
        <v>0.94772999999999996</v>
      </c>
      <c r="G430" s="10">
        <f t="shared" si="26"/>
        <v>-1.5999999999994706E-3</v>
      </c>
      <c r="H430" s="11">
        <f t="shared" si="27"/>
        <v>1.0160499999999772</v>
      </c>
    </row>
    <row r="431" spans="1:8" ht="13.8" thickBot="1">
      <c r="A431" s="13">
        <v>42.8</v>
      </c>
      <c r="B431" s="14">
        <v>0.94672000000000001</v>
      </c>
      <c r="C431" s="10">
        <f t="shared" si="24"/>
        <v>-1.7000000000000105E-3</v>
      </c>
      <c r="D431" s="11">
        <f t="shared" si="25"/>
        <v>1.0194800000000004</v>
      </c>
      <c r="E431" s="13">
        <v>42.8</v>
      </c>
      <c r="F431" s="14">
        <v>0.94757000000000002</v>
      </c>
      <c r="G431" s="10">
        <f t="shared" si="26"/>
        <v>-1.7000000000000105E-3</v>
      </c>
      <c r="H431" s="11">
        <f t="shared" si="27"/>
        <v>1.0203300000000004</v>
      </c>
    </row>
    <row r="432" spans="1:8" ht="13.8" thickBot="1">
      <c r="A432" s="13">
        <v>42.9</v>
      </c>
      <c r="B432" s="14">
        <v>0.94655</v>
      </c>
      <c r="C432" s="10">
        <f t="shared" si="24"/>
        <v>-1.7000000000000105E-3</v>
      </c>
      <c r="D432" s="11">
        <f t="shared" si="25"/>
        <v>1.0194800000000004</v>
      </c>
      <c r="E432" s="13">
        <v>42.9</v>
      </c>
      <c r="F432" s="14">
        <v>0.94740000000000002</v>
      </c>
      <c r="G432" s="10">
        <f t="shared" si="26"/>
        <v>-1.7000000000000105E-3</v>
      </c>
      <c r="H432" s="11">
        <f t="shared" si="27"/>
        <v>1.0203300000000004</v>
      </c>
    </row>
    <row r="433" spans="1:8" ht="13.8" thickBot="1">
      <c r="A433" s="8">
        <v>43</v>
      </c>
      <c r="B433" s="17">
        <v>0.94638</v>
      </c>
      <c r="C433" s="10">
        <f t="shared" si="24"/>
        <v>-1.6000000000004669E-3</v>
      </c>
      <c r="D433" s="11">
        <f t="shared" si="25"/>
        <v>1.01518000000002</v>
      </c>
      <c r="E433" s="8">
        <v>43</v>
      </c>
      <c r="F433" s="17">
        <v>0.94723000000000002</v>
      </c>
      <c r="G433" s="10">
        <f t="shared" si="26"/>
        <v>-1.6000000000004669E-3</v>
      </c>
      <c r="H433" s="11">
        <f t="shared" si="27"/>
        <v>1.01603000000002</v>
      </c>
    </row>
    <row r="434" spans="1:8" ht="13.8" thickBot="1">
      <c r="A434" s="13">
        <v>43.1</v>
      </c>
      <c r="B434" s="14">
        <v>0.94621999999999995</v>
      </c>
      <c r="C434" s="10">
        <f t="shared" si="24"/>
        <v>-1.7000000000000105E-3</v>
      </c>
      <c r="D434" s="11">
        <f t="shared" si="25"/>
        <v>1.0194900000000005</v>
      </c>
      <c r="E434" s="13">
        <v>43.1</v>
      </c>
      <c r="F434" s="14">
        <v>0.94706999999999997</v>
      </c>
      <c r="G434" s="10">
        <f t="shared" si="26"/>
        <v>-1.7000000000000105E-3</v>
      </c>
      <c r="H434" s="11">
        <f t="shared" si="27"/>
        <v>1.0203400000000005</v>
      </c>
    </row>
    <row r="435" spans="1:8" ht="13.8" thickBot="1">
      <c r="A435" s="13">
        <v>43.2</v>
      </c>
      <c r="B435" s="14">
        <v>0.94604999999999995</v>
      </c>
      <c r="C435" s="10">
        <f t="shared" si="24"/>
        <v>-1.6999999999990211E-3</v>
      </c>
      <c r="D435" s="11">
        <f t="shared" si="25"/>
        <v>1.0194899999999576</v>
      </c>
      <c r="E435" s="13">
        <v>43.2</v>
      </c>
      <c r="F435" s="14">
        <v>0.94689999999999996</v>
      </c>
      <c r="G435" s="10">
        <f t="shared" si="26"/>
        <v>-1.7000000000001315E-3</v>
      </c>
      <c r="H435" s="11">
        <f t="shared" si="27"/>
        <v>1.0203400000000056</v>
      </c>
    </row>
    <row r="436" spans="1:8" ht="13.8" thickBot="1">
      <c r="A436" s="13">
        <v>43.3</v>
      </c>
      <c r="B436" s="14">
        <v>0.94588000000000005</v>
      </c>
      <c r="C436" s="10">
        <f t="shared" si="24"/>
        <v>-1.7000000000000105E-3</v>
      </c>
      <c r="D436" s="11">
        <f t="shared" si="25"/>
        <v>1.0194900000000005</v>
      </c>
      <c r="E436" s="13">
        <v>43.3</v>
      </c>
      <c r="F436" s="14">
        <v>0.94672999999999996</v>
      </c>
      <c r="G436" s="10">
        <f t="shared" si="26"/>
        <v>-1.7000000000000105E-3</v>
      </c>
      <c r="H436" s="11">
        <f t="shared" si="27"/>
        <v>1.0203400000000005</v>
      </c>
    </row>
    <row r="437" spans="1:8" ht="13.8" thickBot="1">
      <c r="A437" s="13">
        <v>43.4</v>
      </c>
      <c r="B437" s="14">
        <v>0.94571000000000005</v>
      </c>
      <c r="C437" s="10">
        <f t="shared" si="24"/>
        <v>-1.7000000000000105E-3</v>
      </c>
      <c r="D437" s="11">
        <f t="shared" si="25"/>
        <v>1.0194900000000005</v>
      </c>
      <c r="E437" s="13">
        <v>43.4</v>
      </c>
      <c r="F437" s="14">
        <v>0.94655999999999996</v>
      </c>
      <c r="G437" s="10">
        <f t="shared" si="26"/>
        <v>-1.7000000000000105E-3</v>
      </c>
      <c r="H437" s="11">
        <f t="shared" si="27"/>
        <v>1.0203400000000005</v>
      </c>
    </row>
    <row r="438" spans="1:8" ht="13.8" thickBot="1">
      <c r="A438" s="13">
        <v>43.5</v>
      </c>
      <c r="B438" s="14">
        <v>0.94554000000000005</v>
      </c>
      <c r="C438" s="10">
        <f t="shared" si="24"/>
        <v>-1.6000000000004669E-3</v>
      </c>
      <c r="D438" s="11">
        <f t="shared" si="25"/>
        <v>1.0151400000000204</v>
      </c>
      <c r="E438" s="13">
        <v>43.5</v>
      </c>
      <c r="F438" s="14">
        <v>0.94638999999999995</v>
      </c>
      <c r="G438" s="10">
        <f t="shared" si="26"/>
        <v>-1.5999999999993571E-3</v>
      </c>
      <c r="H438" s="11">
        <f t="shared" si="27"/>
        <v>1.015989999999972</v>
      </c>
    </row>
    <row r="439" spans="1:8" ht="13.8" thickBot="1">
      <c r="A439" s="13">
        <v>43.6</v>
      </c>
      <c r="B439" s="14">
        <v>0.94538</v>
      </c>
      <c r="C439" s="10">
        <f t="shared" si="24"/>
        <v>-1.7000000000000105E-3</v>
      </c>
      <c r="D439" s="11">
        <f t="shared" si="25"/>
        <v>1.0195000000000005</v>
      </c>
      <c r="E439" s="13">
        <v>43.6</v>
      </c>
      <c r="F439" s="14">
        <v>0.94623000000000002</v>
      </c>
      <c r="G439" s="10">
        <f t="shared" si="26"/>
        <v>-1.7000000000000105E-3</v>
      </c>
      <c r="H439" s="11">
        <f t="shared" si="27"/>
        <v>1.0203500000000005</v>
      </c>
    </row>
    <row r="440" spans="1:8" ht="13.8" thickBot="1">
      <c r="A440" s="13">
        <v>43.7</v>
      </c>
      <c r="B440" s="14">
        <v>0.94520999999999999</v>
      </c>
      <c r="C440" s="10">
        <f t="shared" si="24"/>
        <v>-1.7000000000001315E-3</v>
      </c>
      <c r="D440" s="11">
        <f t="shared" si="25"/>
        <v>1.0195000000000058</v>
      </c>
      <c r="E440" s="13">
        <v>43.7</v>
      </c>
      <c r="F440" s="14">
        <v>0.94606000000000001</v>
      </c>
      <c r="G440" s="10">
        <f t="shared" si="26"/>
        <v>-1.7000000000001315E-3</v>
      </c>
      <c r="H440" s="11">
        <f t="shared" si="27"/>
        <v>1.0203500000000059</v>
      </c>
    </row>
    <row r="441" spans="1:8" ht="13.8" thickBot="1">
      <c r="A441" s="13">
        <v>43.8</v>
      </c>
      <c r="B441" s="14">
        <v>0.94503999999999999</v>
      </c>
      <c r="C441" s="10">
        <f t="shared" si="24"/>
        <v>-1.7000000000000105E-3</v>
      </c>
      <c r="D441" s="11">
        <f t="shared" si="25"/>
        <v>1.0195000000000005</v>
      </c>
      <c r="E441" s="13">
        <v>43.8</v>
      </c>
      <c r="F441" s="14">
        <v>0.94589000000000001</v>
      </c>
      <c r="G441" s="10">
        <f t="shared" si="26"/>
        <v>-1.7000000000000105E-3</v>
      </c>
      <c r="H441" s="11">
        <f t="shared" si="27"/>
        <v>1.0203500000000005</v>
      </c>
    </row>
    <row r="442" spans="1:8" ht="13.8" thickBot="1">
      <c r="A442" s="13">
        <v>43.9</v>
      </c>
      <c r="B442" s="14">
        <v>0.94486999999999999</v>
      </c>
      <c r="C442" s="10">
        <f t="shared" si="24"/>
        <v>-1.7999999999995541E-3</v>
      </c>
      <c r="D442" s="11">
        <f t="shared" si="25"/>
        <v>1.0238899999999804</v>
      </c>
      <c r="E442" s="13">
        <v>43.9</v>
      </c>
      <c r="F442" s="14">
        <v>0.94572000000000001</v>
      </c>
      <c r="G442" s="10">
        <f t="shared" si="26"/>
        <v>-1.7999999999995541E-3</v>
      </c>
      <c r="H442" s="11">
        <f t="shared" si="27"/>
        <v>1.0247399999999804</v>
      </c>
    </row>
    <row r="443" spans="1:8" ht="13.8" thickBot="1">
      <c r="A443" s="8">
        <v>44</v>
      </c>
      <c r="B443" s="17">
        <v>0.94469000000000003</v>
      </c>
      <c r="C443" s="10">
        <f t="shared" si="24"/>
        <v>-1.7000000000000105E-3</v>
      </c>
      <c r="D443" s="11">
        <f t="shared" si="25"/>
        <v>1.0194900000000005</v>
      </c>
      <c r="E443" s="8">
        <v>44</v>
      </c>
      <c r="F443" s="17">
        <v>0.94554000000000005</v>
      </c>
      <c r="G443" s="10">
        <f t="shared" si="26"/>
        <v>-1.7000000000000105E-3</v>
      </c>
      <c r="H443" s="11">
        <f t="shared" si="27"/>
        <v>1.0203400000000005</v>
      </c>
    </row>
    <row r="444" spans="1:8" ht="13.8" thickBot="1">
      <c r="A444" s="13">
        <v>44.1</v>
      </c>
      <c r="B444" s="14">
        <v>0.94452000000000003</v>
      </c>
      <c r="C444" s="10">
        <f t="shared" si="24"/>
        <v>-1.7000000000000105E-3</v>
      </c>
      <c r="D444" s="11">
        <f t="shared" si="25"/>
        <v>1.0194900000000005</v>
      </c>
      <c r="E444" s="13">
        <v>44.1</v>
      </c>
      <c r="F444" s="14">
        <v>0.94537000000000004</v>
      </c>
      <c r="G444" s="10">
        <f t="shared" si="26"/>
        <v>-1.7000000000000105E-3</v>
      </c>
      <c r="H444" s="11">
        <f t="shared" si="27"/>
        <v>1.0203400000000005</v>
      </c>
    </row>
    <row r="445" spans="1:8" ht="13.8" thickBot="1">
      <c r="A445" s="13">
        <v>44.2</v>
      </c>
      <c r="B445" s="14">
        <v>0.94435000000000002</v>
      </c>
      <c r="C445" s="10">
        <f t="shared" si="24"/>
        <v>-1.7000000000001315E-3</v>
      </c>
      <c r="D445" s="11">
        <f t="shared" si="25"/>
        <v>1.0194900000000058</v>
      </c>
      <c r="E445" s="13">
        <v>44.2</v>
      </c>
      <c r="F445" s="14">
        <v>0.94520000000000004</v>
      </c>
      <c r="G445" s="10">
        <f t="shared" si="26"/>
        <v>-1.7000000000001315E-3</v>
      </c>
      <c r="H445" s="11">
        <f t="shared" si="27"/>
        <v>1.0203400000000058</v>
      </c>
    </row>
    <row r="446" spans="1:8" ht="13.8" thickBot="1">
      <c r="A446" s="13">
        <v>44.3</v>
      </c>
      <c r="B446" s="14">
        <v>0.94418000000000002</v>
      </c>
      <c r="C446" s="10">
        <f t="shared" si="24"/>
        <v>-1.7000000000000105E-3</v>
      </c>
      <c r="D446" s="11">
        <f t="shared" si="25"/>
        <v>1.0194900000000005</v>
      </c>
      <c r="E446" s="13">
        <v>44.3</v>
      </c>
      <c r="F446" s="14">
        <v>0.94503000000000004</v>
      </c>
      <c r="G446" s="10">
        <f t="shared" si="26"/>
        <v>-1.7000000000000105E-3</v>
      </c>
      <c r="H446" s="11">
        <f t="shared" si="27"/>
        <v>1.0203400000000005</v>
      </c>
    </row>
    <row r="447" spans="1:8" ht="13.8" thickBot="1">
      <c r="A447" s="13">
        <v>44.4</v>
      </c>
      <c r="B447" s="14">
        <v>0.94401000000000002</v>
      </c>
      <c r="C447" s="10">
        <f t="shared" si="24"/>
        <v>-1.8000000000006641E-3</v>
      </c>
      <c r="D447" s="11">
        <f t="shared" si="25"/>
        <v>1.0239300000000295</v>
      </c>
      <c r="E447" s="13">
        <v>44.4</v>
      </c>
      <c r="F447" s="14">
        <v>0.94486000000000003</v>
      </c>
      <c r="G447" s="10">
        <f t="shared" si="26"/>
        <v>-1.8000000000006641E-3</v>
      </c>
      <c r="H447" s="11">
        <f t="shared" si="27"/>
        <v>1.0247800000000296</v>
      </c>
    </row>
    <row r="448" spans="1:8" ht="13.8" thickBot="1">
      <c r="A448" s="13">
        <v>44.5</v>
      </c>
      <c r="B448" s="14">
        <v>0.94382999999999995</v>
      </c>
      <c r="C448" s="10">
        <f t="shared" si="24"/>
        <v>-1.6999999999989005E-3</v>
      </c>
      <c r="D448" s="11">
        <f t="shared" si="25"/>
        <v>1.0194799999999511</v>
      </c>
      <c r="E448" s="13">
        <v>44.5</v>
      </c>
      <c r="F448" s="14">
        <v>0.94467999999999996</v>
      </c>
      <c r="G448" s="10">
        <f t="shared" si="26"/>
        <v>-1.7000000000000105E-3</v>
      </c>
      <c r="H448" s="11">
        <f t="shared" si="27"/>
        <v>1.0203300000000004</v>
      </c>
    </row>
    <row r="449" spans="1:8" ht="13.8" thickBot="1">
      <c r="A449" s="13">
        <v>44.6</v>
      </c>
      <c r="B449" s="14">
        <v>0.94366000000000005</v>
      </c>
      <c r="C449" s="10">
        <f t="shared" si="24"/>
        <v>-1.7000000000000105E-3</v>
      </c>
      <c r="D449" s="11">
        <f t="shared" si="25"/>
        <v>1.0194800000000006</v>
      </c>
      <c r="E449" s="13">
        <v>44.6</v>
      </c>
      <c r="F449" s="14">
        <v>0.94450999999999996</v>
      </c>
      <c r="G449" s="10">
        <f t="shared" si="26"/>
        <v>-1.7000000000000105E-3</v>
      </c>
      <c r="H449" s="11">
        <f t="shared" si="27"/>
        <v>1.0203300000000004</v>
      </c>
    </row>
    <row r="450" spans="1:8" ht="13.8" thickBot="1">
      <c r="A450" s="13">
        <v>44.7</v>
      </c>
      <c r="B450" s="14">
        <v>0.94349000000000005</v>
      </c>
      <c r="C450" s="10">
        <f t="shared" si="24"/>
        <v>-1.8000000000007921E-3</v>
      </c>
      <c r="D450" s="11">
        <f t="shared" si="25"/>
        <v>1.0239500000000354</v>
      </c>
      <c r="E450" s="13">
        <v>44.7</v>
      </c>
      <c r="F450" s="14">
        <v>0.94433999999999996</v>
      </c>
      <c r="G450" s="10">
        <f t="shared" si="26"/>
        <v>-1.7999999999996818E-3</v>
      </c>
      <c r="H450" s="11">
        <f t="shared" si="27"/>
        <v>1.0247999999999857</v>
      </c>
    </row>
    <row r="451" spans="1:8" ht="13.8" thickBot="1">
      <c r="A451" s="13">
        <v>44.8</v>
      </c>
      <c r="B451" s="14">
        <v>0.94330999999999998</v>
      </c>
      <c r="C451" s="10">
        <f t="shared" si="24"/>
        <v>-1.7000000000000105E-3</v>
      </c>
      <c r="D451" s="11">
        <f t="shared" si="25"/>
        <v>1.0194700000000005</v>
      </c>
      <c r="E451" s="13">
        <v>44.8</v>
      </c>
      <c r="F451" s="14">
        <v>0.94416</v>
      </c>
      <c r="G451" s="10">
        <f t="shared" si="26"/>
        <v>-1.7000000000000105E-3</v>
      </c>
      <c r="H451" s="11">
        <f t="shared" si="27"/>
        <v>1.0203200000000006</v>
      </c>
    </row>
    <row r="452" spans="1:8" ht="13.8" thickBot="1">
      <c r="A452" s="13">
        <v>44.9</v>
      </c>
      <c r="B452" s="14">
        <v>0.94313999999999998</v>
      </c>
      <c r="C452" s="10">
        <f t="shared" ref="C452:C515" si="28">SLOPE(B452:B453,A452:A453)</f>
        <v>-1.7999999999995541E-3</v>
      </c>
      <c r="D452" s="11">
        <f t="shared" ref="D452:D515" si="29">INTERCEPT(B452:B453,A452:A453)</f>
        <v>1.02395999999998</v>
      </c>
      <c r="E452" s="13">
        <v>44.9</v>
      </c>
      <c r="F452" s="14">
        <v>0.94399</v>
      </c>
      <c r="G452" s="10">
        <f t="shared" ref="G452:G515" si="30">SLOPE(F452:F453,E452:E453)</f>
        <v>-1.7999999999995541E-3</v>
      </c>
      <c r="H452" s="11">
        <f t="shared" ref="H452:H515" si="31">INTERCEPT(F452:F453,E452:E453)</f>
        <v>1.02480999999998</v>
      </c>
    </row>
    <row r="453" spans="1:8" ht="13.8" thickBot="1">
      <c r="A453" s="8">
        <v>45</v>
      </c>
      <c r="B453" s="17">
        <v>0.94296000000000002</v>
      </c>
      <c r="C453" s="10">
        <f t="shared" si="28"/>
        <v>-1.7000000000000105E-3</v>
      </c>
      <c r="D453" s="11">
        <f t="shared" si="29"/>
        <v>1.0194600000000005</v>
      </c>
      <c r="E453" s="8">
        <v>45</v>
      </c>
      <c r="F453" s="17">
        <v>0.94381000000000004</v>
      </c>
      <c r="G453" s="10">
        <f t="shared" si="30"/>
        <v>-1.7000000000000105E-3</v>
      </c>
      <c r="H453" s="11">
        <f t="shared" si="31"/>
        <v>1.0203100000000005</v>
      </c>
    </row>
    <row r="454" spans="1:8" ht="13.8" thickBot="1">
      <c r="A454" s="13">
        <v>45.1</v>
      </c>
      <c r="B454" s="14">
        <v>0.94279000000000002</v>
      </c>
      <c r="C454" s="10">
        <f t="shared" si="28"/>
        <v>-1.8000000000006641E-3</v>
      </c>
      <c r="D454" s="11">
        <f t="shared" si="29"/>
        <v>1.02397000000003</v>
      </c>
      <c r="E454" s="13">
        <v>45.1</v>
      </c>
      <c r="F454" s="14">
        <v>0.94364000000000003</v>
      </c>
      <c r="G454" s="10">
        <f t="shared" si="30"/>
        <v>-1.8000000000006641E-3</v>
      </c>
      <c r="H454" s="11">
        <f t="shared" si="31"/>
        <v>1.02482000000003</v>
      </c>
    </row>
    <row r="455" spans="1:8" ht="13.8" thickBot="1">
      <c r="A455" s="13">
        <v>45.2</v>
      </c>
      <c r="B455" s="14">
        <v>0.94260999999999995</v>
      </c>
      <c r="C455" s="10">
        <f t="shared" si="28"/>
        <v>-1.6999999999990211E-3</v>
      </c>
      <c r="D455" s="11">
        <f t="shared" si="29"/>
        <v>1.0194499999999558</v>
      </c>
      <c r="E455" s="13">
        <v>45.2</v>
      </c>
      <c r="F455" s="14">
        <v>0.94345999999999997</v>
      </c>
      <c r="G455" s="10">
        <f t="shared" si="30"/>
        <v>-1.7000000000001315E-3</v>
      </c>
      <c r="H455" s="11">
        <f t="shared" si="31"/>
        <v>1.020300000000006</v>
      </c>
    </row>
    <row r="456" spans="1:8" ht="13.8" thickBot="1">
      <c r="A456" s="13">
        <v>45.3</v>
      </c>
      <c r="B456" s="14">
        <v>0.94244000000000006</v>
      </c>
      <c r="C456" s="10">
        <f t="shared" si="28"/>
        <v>-1.8000000000006641E-3</v>
      </c>
      <c r="D456" s="11">
        <f t="shared" si="29"/>
        <v>1.0239800000000301</v>
      </c>
      <c r="E456" s="13">
        <v>45.3</v>
      </c>
      <c r="F456" s="14">
        <v>0.94328999999999996</v>
      </c>
      <c r="G456" s="10">
        <f t="shared" si="30"/>
        <v>-1.7999999999995541E-3</v>
      </c>
      <c r="H456" s="11">
        <f t="shared" si="31"/>
        <v>1.0248299999999797</v>
      </c>
    </row>
    <row r="457" spans="1:8" ht="13.8" thickBot="1">
      <c r="A457" s="13">
        <v>45.4</v>
      </c>
      <c r="B457" s="14">
        <v>0.94225999999999999</v>
      </c>
      <c r="C457" s="10">
        <f t="shared" si="28"/>
        <v>-1.7000000000000105E-3</v>
      </c>
      <c r="D457" s="11">
        <f t="shared" si="29"/>
        <v>1.0194400000000006</v>
      </c>
      <c r="E457" s="13">
        <v>45.4</v>
      </c>
      <c r="F457" s="14">
        <v>0.94311</v>
      </c>
      <c r="G457" s="10">
        <f t="shared" si="30"/>
        <v>-1.7000000000000105E-3</v>
      </c>
      <c r="H457" s="11">
        <f t="shared" si="31"/>
        <v>1.0202900000000006</v>
      </c>
    </row>
    <row r="458" spans="1:8" ht="13.8" thickBot="1">
      <c r="A458" s="13">
        <v>45.5</v>
      </c>
      <c r="B458" s="14">
        <v>0.94208999999999998</v>
      </c>
      <c r="C458" s="10">
        <f t="shared" si="28"/>
        <v>-1.7999999999995541E-3</v>
      </c>
      <c r="D458" s="11">
        <f t="shared" si="29"/>
        <v>1.0239899999999795</v>
      </c>
      <c r="E458" s="13">
        <v>45.5</v>
      </c>
      <c r="F458" s="14">
        <v>0.94294</v>
      </c>
      <c r="G458" s="10">
        <f t="shared" si="30"/>
        <v>-1.7999999999995541E-3</v>
      </c>
      <c r="H458" s="11">
        <f t="shared" si="31"/>
        <v>1.0248399999999798</v>
      </c>
    </row>
    <row r="459" spans="1:8" ht="13.8" thickBot="1">
      <c r="A459" s="13">
        <v>45.6</v>
      </c>
      <c r="B459" s="14">
        <v>0.94191000000000003</v>
      </c>
      <c r="C459" s="10">
        <f t="shared" si="28"/>
        <v>-1.8000000000006641E-3</v>
      </c>
      <c r="D459" s="11">
        <f t="shared" si="29"/>
        <v>1.0239900000000304</v>
      </c>
      <c r="E459" s="13">
        <v>45.6</v>
      </c>
      <c r="F459" s="14">
        <v>0.94276000000000004</v>
      </c>
      <c r="G459" s="10">
        <f t="shared" si="30"/>
        <v>-1.8000000000006641E-3</v>
      </c>
      <c r="H459" s="11">
        <f t="shared" si="31"/>
        <v>1.0248400000000304</v>
      </c>
    </row>
    <row r="460" spans="1:8" ht="13.8" thickBot="1">
      <c r="A460" s="13">
        <v>45.7</v>
      </c>
      <c r="B460" s="14">
        <v>0.94172999999999996</v>
      </c>
      <c r="C460" s="10">
        <f t="shared" si="28"/>
        <v>-1.7999999999996818E-3</v>
      </c>
      <c r="D460" s="11">
        <f t="shared" si="29"/>
        <v>1.0239899999999855</v>
      </c>
      <c r="E460" s="13">
        <v>45.7</v>
      </c>
      <c r="F460" s="14">
        <v>0.94257999999999997</v>
      </c>
      <c r="G460" s="10">
        <f t="shared" si="30"/>
        <v>-1.7999999999996818E-3</v>
      </c>
      <c r="H460" s="11">
        <f t="shared" si="31"/>
        <v>1.0248399999999855</v>
      </c>
    </row>
    <row r="461" spans="1:8" ht="13.8" thickBot="1">
      <c r="A461" s="13">
        <v>45.8</v>
      </c>
      <c r="B461" s="14">
        <v>0.94155</v>
      </c>
      <c r="C461" s="10">
        <f t="shared" si="28"/>
        <v>-1.7999999999995541E-3</v>
      </c>
      <c r="D461" s="11">
        <f t="shared" si="29"/>
        <v>1.0239899999999795</v>
      </c>
      <c r="E461" s="13">
        <v>45.8</v>
      </c>
      <c r="F461" s="14">
        <v>0.94240000000000002</v>
      </c>
      <c r="G461" s="10">
        <f t="shared" si="30"/>
        <v>-1.8000000000006641E-3</v>
      </c>
      <c r="H461" s="11">
        <f t="shared" si="31"/>
        <v>1.0248400000000304</v>
      </c>
    </row>
    <row r="462" spans="1:8" ht="13.8" thickBot="1">
      <c r="A462" s="13">
        <v>45.9</v>
      </c>
      <c r="B462" s="14">
        <v>0.94137000000000004</v>
      </c>
      <c r="C462" s="10">
        <f t="shared" si="28"/>
        <v>-1.7000000000000105E-3</v>
      </c>
      <c r="D462" s="11">
        <f t="shared" si="29"/>
        <v>1.0194000000000005</v>
      </c>
      <c r="E462" s="13">
        <v>45.9</v>
      </c>
      <c r="F462" s="14">
        <v>0.94221999999999995</v>
      </c>
      <c r="G462" s="10">
        <f t="shared" si="30"/>
        <v>-1.6999999999989005E-3</v>
      </c>
      <c r="H462" s="11">
        <f t="shared" si="31"/>
        <v>1.0202499999999495</v>
      </c>
    </row>
    <row r="463" spans="1:8" ht="13.8" thickBot="1">
      <c r="A463" s="8">
        <v>46</v>
      </c>
      <c r="B463" s="17">
        <v>0.94120000000000004</v>
      </c>
      <c r="C463" s="10">
        <f t="shared" si="28"/>
        <v>-1.8000000000006641E-3</v>
      </c>
      <c r="D463" s="11">
        <f t="shared" si="29"/>
        <v>1.0240000000000307</v>
      </c>
      <c r="E463" s="8">
        <v>46</v>
      </c>
      <c r="F463" s="17">
        <v>0.94205000000000005</v>
      </c>
      <c r="G463" s="10">
        <f t="shared" si="30"/>
        <v>-1.8000000000006641E-3</v>
      </c>
      <c r="H463" s="11">
        <f t="shared" si="31"/>
        <v>1.0248500000000307</v>
      </c>
    </row>
    <row r="464" spans="1:8" ht="13.8" thickBot="1">
      <c r="A464" s="13">
        <v>46.1</v>
      </c>
      <c r="B464" s="14">
        <v>0.94101999999999997</v>
      </c>
      <c r="C464" s="10">
        <f t="shared" si="28"/>
        <v>-1.7999999999995541E-3</v>
      </c>
      <c r="D464" s="11">
        <f t="shared" si="29"/>
        <v>1.0239999999999796</v>
      </c>
      <c r="E464" s="13">
        <v>46.1</v>
      </c>
      <c r="F464" s="14">
        <v>0.94186999999999999</v>
      </c>
      <c r="G464" s="10">
        <f t="shared" si="30"/>
        <v>-1.7999999999995541E-3</v>
      </c>
      <c r="H464" s="11">
        <f t="shared" si="31"/>
        <v>1.0248499999999794</v>
      </c>
    </row>
    <row r="465" spans="1:8" ht="13.8" thickBot="1">
      <c r="A465" s="13">
        <v>46.2</v>
      </c>
      <c r="B465" s="14">
        <v>0.94084000000000001</v>
      </c>
      <c r="C465" s="10">
        <f t="shared" si="28"/>
        <v>-1.7999999999996818E-3</v>
      </c>
      <c r="D465" s="11">
        <f t="shared" si="29"/>
        <v>1.0239999999999854</v>
      </c>
      <c r="E465" s="13">
        <v>46.2</v>
      </c>
      <c r="F465" s="14">
        <v>0.94169000000000003</v>
      </c>
      <c r="G465" s="10">
        <f t="shared" si="30"/>
        <v>-1.8000000000007921E-3</v>
      </c>
      <c r="H465" s="11">
        <f t="shared" si="31"/>
        <v>1.0248500000000367</v>
      </c>
    </row>
    <row r="466" spans="1:8" ht="13.8" thickBot="1">
      <c r="A466" s="13">
        <v>46.3</v>
      </c>
      <c r="B466" s="14">
        <v>0.94066000000000005</v>
      </c>
      <c r="C466" s="10">
        <f t="shared" si="28"/>
        <v>-1.8000000000006641E-3</v>
      </c>
      <c r="D466" s="11">
        <f t="shared" si="29"/>
        <v>1.0240000000000309</v>
      </c>
      <c r="E466" s="13">
        <v>46.3</v>
      </c>
      <c r="F466" s="14">
        <v>0.94150999999999996</v>
      </c>
      <c r="G466" s="10">
        <f t="shared" si="30"/>
        <v>-1.7999999999995541E-3</v>
      </c>
      <c r="H466" s="11">
        <f t="shared" si="31"/>
        <v>1.0248499999999792</v>
      </c>
    </row>
    <row r="467" spans="1:8" ht="13.8" thickBot="1">
      <c r="A467" s="13">
        <v>46.4</v>
      </c>
      <c r="B467" s="14">
        <v>0.94047999999999998</v>
      </c>
      <c r="C467" s="10">
        <f t="shared" si="28"/>
        <v>-1.7999999999995541E-3</v>
      </c>
      <c r="D467" s="11">
        <f t="shared" si="29"/>
        <v>1.0239999999999794</v>
      </c>
      <c r="E467" s="13">
        <v>46.4</v>
      </c>
      <c r="F467" s="14">
        <v>0.94133</v>
      </c>
      <c r="G467" s="10">
        <f t="shared" si="30"/>
        <v>-1.7999999999995541E-3</v>
      </c>
      <c r="H467" s="11">
        <f t="shared" si="31"/>
        <v>1.0248499999999794</v>
      </c>
    </row>
    <row r="468" spans="1:8" ht="13.8" thickBot="1">
      <c r="A468" s="13">
        <v>46.5</v>
      </c>
      <c r="B468" s="14">
        <v>0.94030000000000002</v>
      </c>
      <c r="C468" s="10">
        <f t="shared" si="28"/>
        <v>-1.8000000000006641E-3</v>
      </c>
      <c r="D468" s="11">
        <f t="shared" si="29"/>
        <v>1.0240000000000309</v>
      </c>
      <c r="E468" s="13">
        <v>46.5</v>
      </c>
      <c r="F468" s="14">
        <v>0.94115000000000004</v>
      </c>
      <c r="G468" s="10">
        <f t="shared" si="30"/>
        <v>-1.8000000000006641E-3</v>
      </c>
      <c r="H468" s="11">
        <f t="shared" si="31"/>
        <v>1.0248500000000309</v>
      </c>
    </row>
    <row r="469" spans="1:8" ht="13.8" thickBot="1">
      <c r="A469" s="13">
        <v>46.6</v>
      </c>
      <c r="B469" s="14">
        <v>0.94011999999999996</v>
      </c>
      <c r="C469" s="10">
        <f t="shared" si="28"/>
        <v>-1.7999999999995541E-3</v>
      </c>
      <c r="D469" s="11">
        <f t="shared" si="29"/>
        <v>1.0239999999999791</v>
      </c>
      <c r="E469" s="13">
        <v>46.6</v>
      </c>
      <c r="F469" s="14">
        <v>0.94096999999999997</v>
      </c>
      <c r="G469" s="10">
        <f t="shared" si="30"/>
        <v>-1.7999999999995541E-3</v>
      </c>
      <c r="H469" s="11">
        <f t="shared" si="31"/>
        <v>1.0248499999999792</v>
      </c>
    </row>
    <row r="470" spans="1:8" ht="13.8" thickBot="1">
      <c r="A470" s="13">
        <v>46.7</v>
      </c>
      <c r="B470" s="14">
        <v>0.93994</v>
      </c>
      <c r="C470" s="10">
        <f t="shared" si="28"/>
        <v>-1.9000000000003426E-3</v>
      </c>
      <c r="D470" s="11">
        <f t="shared" si="29"/>
        <v>1.028670000000016</v>
      </c>
      <c r="E470" s="13">
        <v>46.7</v>
      </c>
      <c r="F470" s="14">
        <v>0.94079000000000002</v>
      </c>
      <c r="G470" s="10">
        <f t="shared" si="30"/>
        <v>-1.9000000000003426E-3</v>
      </c>
      <c r="H470" s="11">
        <f t="shared" si="31"/>
        <v>1.029520000000016</v>
      </c>
    </row>
    <row r="471" spans="1:8" ht="13.8" thickBot="1">
      <c r="A471" s="13">
        <v>46.8</v>
      </c>
      <c r="B471" s="14">
        <v>0.93974999999999997</v>
      </c>
      <c r="C471" s="10">
        <f t="shared" si="28"/>
        <v>-1.7999999999995541E-3</v>
      </c>
      <c r="D471" s="11">
        <f t="shared" si="29"/>
        <v>1.0239899999999791</v>
      </c>
      <c r="E471" s="13">
        <v>46.8</v>
      </c>
      <c r="F471" s="14">
        <v>0.94059999999999999</v>
      </c>
      <c r="G471" s="10">
        <f t="shared" si="30"/>
        <v>-1.7999999999995541E-3</v>
      </c>
      <c r="H471" s="11">
        <f t="shared" si="31"/>
        <v>1.0248399999999791</v>
      </c>
    </row>
    <row r="472" spans="1:8" ht="13.8" thickBot="1">
      <c r="A472" s="13">
        <v>46.9</v>
      </c>
      <c r="B472" s="14">
        <v>0.93957000000000002</v>
      </c>
      <c r="C472" s="10">
        <f t="shared" si="28"/>
        <v>-1.8000000000006641E-3</v>
      </c>
      <c r="D472" s="11">
        <f t="shared" si="29"/>
        <v>1.0239900000000313</v>
      </c>
      <c r="E472" s="13">
        <v>46.9</v>
      </c>
      <c r="F472" s="14">
        <v>0.94042000000000003</v>
      </c>
      <c r="G472" s="10">
        <f t="shared" si="30"/>
        <v>-1.8000000000006641E-3</v>
      </c>
      <c r="H472" s="11">
        <f t="shared" si="31"/>
        <v>1.0248400000000313</v>
      </c>
    </row>
    <row r="473" spans="1:8" ht="13.8" thickBot="1">
      <c r="A473" s="8">
        <v>47</v>
      </c>
      <c r="B473" s="17">
        <v>0.93938999999999995</v>
      </c>
      <c r="C473" s="10">
        <f t="shared" si="28"/>
        <v>-1.7999999999995541E-3</v>
      </c>
      <c r="D473" s="11">
        <f t="shared" si="29"/>
        <v>1.0239899999999791</v>
      </c>
      <c r="E473" s="8">
        <v>47</v>
      </c>
      <c r="F473" s="17">
        <v>0.94023999999999996</v>
      </c>
      <c r="G473" s="10">
        <f t="shared" si="30"/>
        <v>-1.7999999999995541E-3</v>
      </c>
      <c r="H473" s="11">
        <f t="shared" si="31"/>
        <v>1.0248399999999791</v>
      </c>
    </row>
    <row r="474" spans="1:8" ht="13.8" thickBot="1">
      <c r="A474" s="13">
        <v>47.1</v>
      </c>
      <c r="B474" s="14">
        <v>0.93920999999999999</v>
      </c>
      <c r="C474" s="10">
        <f t="shared" si="28"/>
        <v>-1.9000000000002075E-3</v>
      </c>
      <c r="D474" s="11">
        <f t="shared" si="29"/>
        <v>1.0287000000000097</v>
      </c>
      <c r="E474" s="13">
        <v>47.1</v>
      </c>
      <c r="F474" s="14">
        <v>0.94006000000000001</v>
      </c>
      <c r="G474" s="10">
        <f t="shared" si="30"/>
        <v>-1.9000000000002075E-3</v>
      </c>
      <c r="H474" s="11">
        <f t="shared" si="31"/>
        <v>1.0295500000000097</v>
      </c>
    </row>
    <row r="475" spans="1:8" ht="13.8" thickBot="1">
      <c r="A475" s="13">
        <v>47.2</v>
      </c>
      <c r="B475" s="14">
        <v>0.93901999999999997</v>
      </c>
      <c r="C475" s="10">
        <f t="shared" si="28"/>
        <v>-1.7999999999996818E-3</v>
      </c>
      <c r="D475" s="11">
        <f t="shared" si="29"/>
        <v>1.023979999999985</v>
      </c>
      <c r="E475" s="13">
        <v>47.2</v>
      </c>
      <c r="F475" s="14">
        <v>0.93986999999999998</v>
      </c>
      <c r="G475" s="10">
        <f t="shared" si="30"/>
        <v>-1.7999999999996818E-3</v>
      </c>
      <c r="H475" s="11">
        <f t="shared" si="31"/>
        <v>1.024829999999985</v>
      </c>
    </row>
    <row r="476" spans="1:8" ht="13.8" thickBot="1">
      <c r="A476" s="13">
        <v>47.3</v>
      </c>
      <c r="B476" s="14">
        <v>0.93884000000000001</v>
      </c>
      <c r="C476" s="10">
        <f t="shared" si="28"/>
        <v>-1.7999999999995541E-3</v>
      </c>
      <c r="D476" s="11">
        <f t="shared" si="29"/>
        <v>1.0239799999999788</v>
      </c>
      <c r="E476" s="13">
        <v>47.3</v>
      </c>
      <c r="F476" s="14">
        <v>0.93969000000000003</v>
      </c>
      <c r="G476" s="10">
        <f t="shared" si="30"/>
        <v>-1.8000000000006641E-3</v>
      </c>
      <c r="H476" s="11">
        <f t="shared" si="31"/>
        <v>1.0248300000000314</v>
      </c>
    </row>
    <row r="477" spans="1:8" ht="13.8" thickBot="1">
      <c r="A477" s="13">
        <v>47.4</v>
      </c>
      <c r="B477" s="14">
        <v>0.93866000000000005</v>
      </c>
      <c r="C477" s="10">
        <f t="shared" si="28"/>
        <v>-1.9000000000002075E-3</v>
      </c>
      <c r="D477" s="11">
        <f t="shared" si="29"/>
        <v>1.0287200000000098</v>
      </c>
      <c r="E477" s="13">
        <v>47.4</v>
      </c>
      <c r="F477" s="14">
        <v>0.93950999999999996</v>
      </c>
      <c r="G477" s="10">
        <f t="shared" si="30"/>
        <v>-1.8999999999990977E-3</v>
      </c>
      <c r="H477" s="11">
        <f t="shared" si="31"/>
        <v>1.0295699999999572</v>
      </c>
    </row>
    <row r="478" spans="1:8" ht="13.8" thickBot="1">
      <c r="A478" s="13">
        <v>47.5</v>
      </c>
      <c r="B478" s="14">
        <v>0.93847000000000003</v>
      </c>
      <c r="C478" s="10">
        <f t="shared" si="28"/>
        <v>-1.8000000000006641E-3</v>
      </c>
      <c r="D478" s="11">
        <f t="shared" si="29"/>
        <v>1.0239700000000316</v>
      </c>
      <c r="E478" s="13">
        <v>47.5</v>
      </c>
      <c r="F478" s="14">
        <v>0.93932000000000004</v>
      </c>
      <c r="G478" s="10">
        <f t="shared" si="30"/>
        <v>-1.8000000000006641E-3</v>
      </c>
      <c r="H478" s="11">
        <f t="shared" si="31"/>
        <v>1.0248200000000316</v>
      </c>
    </row>
    <row r="479" spans="1:8" ht="13.8" thickBot="1">
      <c r="A479" s="13">
        <v>47.6</v>
      </c>
      <c r="B479" s="14">
        <v>0.93828999999999996</v>
      </c>
      <c r="C479" s="10">
        <f t="shared" si="28"/>
        <v>-1.8999999999990977E-3</v>
      </c>
      <c r="D479" s="11">
        <f t="shared" si="29"/>
        <v>1.0287299999999571</v>
      </c>
      <c r="E479" s="13">
        <v>47.6</v>
      </c>
      <c r="F479" s="14">
        <v>0.93913999999999997</v>
      </c>
      <c r="G479" s="10">
        <f t="shared" si="30"/>
        <v>-1.9000000000002075E-3</v>
      </c>
      <c r="H479" s="11">
        <f t="shared" si="31"/>
        <v>1.0295800000000097</v>
      </c>
    </row>
    <row r="480" spans="1:8" ht="13.8" thickBot="1">
      <c r="A480" s="13">
        <v>47.7</v>
      </c>
      <c r="B480" s="14">
        <v>0.93810000000000004</v>
      </c>
      <c r="C480" s="10">
        <f t="shared" si="28"/>
        <v>-1.8000000000007921E-3</v>
      </c>
      <c r="D480" s="11">
        <f t="shared" si="29"/>
        <v>1.0239600000000377</v>
      </c>
      <c r="E480" s="13">
        <v>47.7</v>
      </c>
      <c r="F480" s="14">
        <v>0.93894999999999995</v>
      </c>
      <c r="G480" s="10">
        <f t="shared" si="30"/>
        <v>-1.8999999999992324E-3</v>
      </c>
      <c r="H480" s="11">
        <f t="shared" si="31"/>
        <v>1.0295799999999633</v>
      </c>
    </row>
    <row r="481" spans="1:8" ht="13.8" thickBot="1">
      <c r="A481" s="13">
        <v>47.8</v>
      </c>
      <c r="B481" s="14">
        <v>0.93791999999999998</v>
      </c>
      <c r="C481" s="10">
        <f t="shared" si="28"/>
        <v>-1.9000000000002075E-3</v>
      </c>
      <c r="D481" s="11">
        <f t="shared" si="29"/>
        <v>1.0287400000000098</v>
      </c>
      <c r="E481" s="13">
        <v>47.8</v>
      </c>
      <c r="F481" s="14">
        <v>0.93876000000000004</v>
      </c>
      <c r="G481" s="10">
        <f t="shared" si="30"/>
        <v>-1.9000000000002075E-3</v>
      </c>
      <c r="H481" s="11">
        <f t="shared" si="31"/>
        <v>1.0295800000000099</v>
      </c>
    </row>
    <row r="482" spans="1:8" ht="13.8" thickBot="1">
      <c r="A482" s="13">
        <v>47.9</v>
      </c>
      <c r="B482" s="14">
        <v>0.93772999999999995</v>
      </c>
      <c r="C482" s="10">
        <f t="shared" si="28"/>
        <v>-1.7999999999995541E-3</v>
      </c>
      <c r="D482" s="11">
        <f t="shared" si="29"/>
        <v>1.0239499999999786</v>
      </c>
      <c r="E482" s="13">
        <v>47.9</v>
      </c>
      <c r="F482" s="14">
        <v>0.93857000000000002</v>
      </c>
      <c r="G482" s="10">
        <f t="shared" si="30"/>
        <v>-1.8000000000006641E-3</v>
      </c>
      <c r="H482" s="11">
        <f t="shared" si="31"/>
        <v>1.0247900000000318</v>
      </c>
    </row>
    <row r="483" spans="1:8" ht="13.8" thickBot="1">
      <c r="A483" s="8">
        <v>48</v>
      </c>
      <c r="B483" s="17">
        <v>0.93754999999999999</v>
      </c>
      <c r="C483" s="10">
        <f t="shared" si="28"/>
        <v>-1.9000000000002075E-3</v>
      </c>
      <c r="D483" s="11">
        <f t="shared" si="29"/>
        <v>1.0287500000000098</v>
      </c>
      <c r="E483" s="8">
        <v>48</v>
      </c>
      <c r="F483" s="17">
        <v>0.93838999999999995</v>
      </c>
      <c r="G483" s="10">
        <f t="shared" si="30"/>
        <v>-1.8999999999990977E-3</v>
      </c>
      <c r="H483" s="11">
        <f t="shared" si="31"/>
        <v>1.0295899999999567</v>
      </c>
    </row>
    <row r="484" spans="1:8" ht="13.8" thickBot="1">
      <c r="A484" s="13">
        <v>48.1</v>
      </c>
      <c r="B484" s="14">
        <v>0.93735999999999997</v>
      </c>
      <c r="C484" s="10">
        <f t="shared" si="28"/>
        <v>-1.9000000000002075E-3</v>
      </c>
      <c r="D484" s="11">
        <f t="shared" si="29"/>
        <v>1.02875000000001</v>
      </c>
      <c r="E484" s="13">
        <v>48.1</v>
      </c>
      <c r="F484" s="14">
        <v>0.93820000000000003</v>
      </c>
      <c r="G484" s="10">
        <f t="shared" si="30"/>
        <v>-1.9000000000002075E-3</v>
      </c>
      <c r="H484" s="11">
        <f t="shared" si="31"/>
        <v>1.02959000000001</v>
      </c>
    </row>
    <row r="485" spans="1:8" ht="13.8" thickBot="1">
      <c r="A485" s="13">
        <v>48.2</v>
      </c>
      <c r="B485" s="14">
        <v>0.93716999999999995</v>
      </c>
      <c r="C485" s="10">
        <f t="shared" si="28"/>
        <v>-1.7999999999996818E-3</v>
      </c>
      <c r="D485" s="11">
        <f t="shared" si="29"/>
        <v>1.0239299999999845</v>
      </c>
      <c r="E485" s="13">
        <v>48.2</v>
      </c>
      <c r="F485" s="14">
        <v>0.93801000000000001</v>
      </c>
      <c r="G485" s="10">
        <f t="shared" si="30"/>
        <v>-1.7999999999996818E-3</v>
      </c>
      <c r="H485" s="11">
        <f t="shared" si="31"/>
        <v>1.0247699999999846</v>
      </c>
    </row>
    <row r="486" spans="1:8" ht="13.8" thickBot="1">
      <c r="A486" s="13">
        <v>48.3</v>
      </c>
      <c r="B486" s="14">
        <v>0.93698999999999999</v>
      </c>
      <c r="C486" s="10">
        <f t="shared" si="28"/>
        <v>-1.9000000000002075E-3</v>
      </c>
      <c r="D486" s="11">
        <f t="shared" si="29"/>
        <v>1.0287600000000101</v>
      </c>
      <c r="E486" s="13">
        <v>48.3</v>
      </c>
      <c r="F486" s="14">
        <v>0.93783000000000005</v>
      </c>
      <c r="G486" s="10">
        <f t="shared" si="30"/>
        <v>-1.9000000000002075E-3</v>
      </c>
      <c r="H486" s="11">
        <f t="shared" si="31"/>
        <v>1.0296000000000101</v>
      </c>
    </row>
    <row r="487" spans="1:8" ht="13.8" thickBot="1">
      <c r="A487" s="13">
        <v>48.4</v>
      </c>
      <c r="B487" s="14">
        <v>0.93679999999999997</v>
      </c>
      <c r="C487" s="10">
        <f t="shared" si="28"/>
        <v>-1.8999999999990977E-3</v>
      </c>
      <c r="D487" s="11">
        <f t="shared" si="29"/>
        <v>1.0287599999999564</v>
      </c>
      <c r="E487" s="13">
        <v>48.4</v>
      </c>
      <c r="F487" s="14">
        <v>0.93764000000000003</v>
      </c>
      <c r="G487" s="10">
        <f t="shared" si="30"/>
        <v>-1.9000000000002075E-3</v>
      </c>
      <c r="H487" s="11">
        <f t="shared" si="31"/>
        <v>1.0296000000000101</v>
      </c>
    </row>
    <row r="488" spans="1:8" ht="13.8" thickBot="1">
      <c r="A488" s="13">
        <v>48.5</v>
      </c>
      <c r="B488" s="14">
        <v>0.93661000000000005</v>
      </c>
      <c r="C488" s="10">
        <f t="shared" si="28"/>
        <v>-1.9000000000002075E-3</v>
      </c>
      <c r="D488" s="11">
        <f t="shared" si="29"/>
        <v>1.0287600000000101</v>
      </c>
      <c r="E488" s="13">
        <v>48.5</v>
      </c>
      <c r="F488" s="14">
        <v>0.93745000000000001</v>
      </c>
      <c r="G488" s="10">
        <f t="shared" si="30"/>
        <v>-1.9000000000002075E-3</v>
      </c>
      <c r="H488" s="11">
        <f t="shared" si="31"/>
        <v>1.0296000000000101</v>
      </c>
    </row>
    <row r="489" spans="1:8" ht="13.8" thickBot="1">
      <c r="A489" s="13">
        <v>48.6</v>
      </c>
      <c r="B489" s="14">
        <v>0.93642000000000003</v>
      </c>
      <c r="C489" s="10">
        <f t="shared" si="28"/>
        <v>-1.9000000000002075E-3</v>
      </c>
      <c r="D489" s="11">
        <f t="shared" si="29"/>
        <v>1.0287600000000101</v>
      </c>
      <c r="E489" s="13">
        <v>48.6</v>
      </c>
      <c r="F489" s="14">
        <v>0.93725999999999998</v>
      </c>
      <c r="G489" s="10">
        <f t="shared" si="30"/>
        <v>-1.9000000000002075E-3</v>
      </c>
      <c r="H489" s="11">
        <f t="shared" si="31"/>
        <v>1.0296000000000101</v>
      </c>
    </row>
    <row r="490" spans="1:8" ht="13.8" thickBot="1">
      <c r="A490" s="13">
        <v>48.7</v>
      </c>
      <c r="B490" s="14">
        <v>0.93623000000000001</v>
      </c>
      <c r="C490" s="10">
        <f t="shared" si="28"/>
        <v>-1.7999999999996818E-3</v>
      </c>
      <c r="D490" s="11">
        <f t="shared" si="29"/>
        <v>1.0238899999999844</v>
      </c>
      <c r="E490" s="13">
        <v>48.7</v>
      </c>
      <c r="F490" s="14">
        <v>0.93706999999999996</v>
      </c>
      <c r="G490" s="10">
        <f t="shared" si="30"/>
        <v>-1.7999999999996818E-3</v>
      </c>
      <c r="H490" s="11">
        <f t="shared" si="31"/>
        <v>1.0247299999999844</v>
      </c>
    </row>
    <row r="491" spans="1:8" ht="13.8" thickBot="1">
      <c r="A491" s="13">
        <v>48.8</v>
      </c>
      <c r="B491" s="14">
        <v>0.93605000000000005</v>
      </c>
      <c r="C491" s="10">
        <f t="shared" si="28"/>
        <v>-1.9000000000002075E-3</v>
      </c>
      <c r="D491" s="11">
        <f t="shared" si="29"/>
        <v>1.0287700000000102</v>
      </c>
      <c r="E491" s="13">
        <v>48.8</v>
      </c>
      <c r="F491" s="14">
        <v>0.93689</v>
      </c>
      <c r="G491" s="10">
        <f t="shared" si="30"/>
        <v>-1.9000000000002075E-3</v>
      </c>
      <c r="H491" s="11">
        <f t="shared" si="31"/>
        <v>1.0296100000000101</v>
      </c>
    </row>
    <row r="492" spans="1:8" ht="13.8" thickBot="1">
      <c r="A492" s="13">
        <v>48.9</v>
      </c>
      <c r="B492" s="14">
        <v>0.93586000000000003</v>
      </c>
      <c r="C492" s="10">
        <f t="shared" si="28"/>
        <v>-1.9000000000002075E-3</v>
      </c>
      <c r="D492" s="11">
        <f t="shared" si="29"/>
        <v>1.0287700000000102</v>
      </c>
      <c r="E492" s="13">
        <v>48.9</v>
      </c>
      <c r="F492" s="14">
        <v>0.93669999999999998</v>
      </c>
      <c r="G492" s="10">
        <f t="shared" si="30"/>
        <v>-1.9000000000002075E-3</v>
      </c>
      <c r="H492" s="11">
        <f t="shared" si="31"/>
        <v>1.0296100000000101</v>
      </c>
    </row>
    <row r="493" spans="1:8" ht="13.8" thickBot="1">
      <c r="A493" s="8">
        <v>49</v>
      </c>
      <c r="B493" s="17">
        <v>0.93567</v>
      </c>
      <c r="C493" s="10">
        <f t="shared" si="28"/>
        <v>-1.9000000000002075E-3</v>
      </c>
      <c r="D493" s="11">
        <f t="shared" si="29"/>
        <v>1.0287700000000102</v>
      </c>
      <c r="E493" s="8">
        <v>49</v>
      </c>
      <c r="F493" s="17">
        <v>0.93650999999999995</v>
      </c>
      <c r="G493" s="10">
        <f t="shared" si="30"/>
        <v>-1.8999999999990977E-3</v>
      </c>
      <c r="H493" s="11">
        <f t="shared" si="31"/>
        <v>1.0296099999999557</v>
      </c>
    </row>
    <row r="494" spans="1:8" ht="13.8" thickBot="1">
      <c r="A494" s="13">
        <v>49.1</v>
      </c>
      <c r="B494" s="14">
        <v>0.93547999999999998</v>
      </c>
      <c r="C494" s="10">
        <f t="shared" si="28"/>
        <v>-1.9000000000002075E-3</v>
      </c>
      <c r="D494" s="11">
        <f t="shared" si="29"/>
        <v>1.0287700000000102</v>
      </c>
      <c r="E494" s="13">
        <v>49.1</v>
      </c>
      <c r="F494" s="14">
        <v>0.93632000000000004</v>
      </c>
      <c r="G494" s="10">
        <f t="shared" si="30"/>
        <v>-1.9000000000002075E-3</v>
      </c>
      <c r="H494" s="11">
        <f t="shared" si="31"/>
        <v>1.0296100000000104</v>
      </c>
    </row>
    <row r="495" spans="1:8" ht="13.8" thickBot="1">
      <c r="A495" s="13">
        <v>49.2</v>
      </c>
      <c r="B495" s="14">
        <v>0.93528999999999995</v>
      </c>
      <c r="C495" s="10">
        <f t="shared" si="28"/>
        <v>-1.8999999999992324E-3</v>
      </c>
      <c r="D495" s="11">
        <f t="shared" si="29"/>
        <v>1.0287699999999622</v>
      </c>
      <c r="E495" s="13">
        <v>49.2</v>
      </c>
      <c r="F495" s="14">
        <v>0.93613000000000002</v>
      </c>
      <c r="G495" s="10">
        <f t="shared" si="30"/>
        <v>-1.9000000000003426E-3</v>
      </c>
      <c r="H495" s="11">
        <f t="shared" si="31"/>
        <v>1.0296100000000168</v>
      </c>
    </row>
    <row r="496" spans="1:8" ht="13.8" thickBot="1">
      <c r="A496" s="13">
        <v>49.3</v>
      </c>
      <c r="B496" s="14">
        <v>0.93510000000000004</v>
      </c>
      <c r="C496" s="10">
        <f t="shared" si="28"/>
        <v>-2.0000000000008613E-3</v>
      </c>
      <c r="D496" s="11">
        <f t="shared" si="29"/>
        <v>1.0337000000000425</v>
      </c>
      <c r="E496" s="13">
        <v>49.3</v>
      </c>
      <c r="F496" s="14">
        <v>0.93593999999999999</v>
      </c>
      <c r="G496" s="10">
        <f t="shared" si="30"/>
        <v>-1.9999999999997511E-3</v>
      </c>
      <c r="H496" s="11">
        <f t="shared" si="31"/>
        <v>1.0345399999999878</v>
      </c>
    </row>
    <row r="497" spans="1:8" ht="13.8" thickBot="1">
      <c r="A497" s="13">
        <v>49.4</v>
      </c>
      <c r="B497" s="14">
        <v>0.93489999999999995</v>
      </c>
      <c r="C497" s="10">
        <f t="shared" si="28"/>
        <v>-1.8999999999990977E-3</v>
      </c>
      <c r="D497" s="11">
        <f t="shared" si="29"/>
        <v>1.0287599999999555</v>
      </c>
      <c r="E497" s="13">
        <v>49.4</v>
      </c>
      <c r="F497" s="14">
        <v>0.93574000000000002</v>
      </c>
      <c r="G497" s="10">
        <f t="shared" si="30"/>
        <v>-1.9000000000002075E-3</v>
      </c>
      <c r="H497" s="11">
        <f t="shared" si="31"/>
        <v>1.0296000000000103</v>
      </c>
    </row>
    <row r="498" spans="1:8" ht="13.8" thickBot="1">
      <c r="A498" s="13">
        <v>49.5</v>
      </c>
      <c r="B498" s="14">
        <v>0.93471000000000004</v>
      </c>
      <c r="C498" s="10">
        <f t="shared" si="28"/>
        <v>-1.9000000000002075E-3</v>
      </c>
      <c r="D498" s="11">
        <f t="shared" si="29"/>
        <v>1.0287600000000103</v>
      </c>
      <c r="E498" s="13">
        <v>49.5</v>
      </c>
      <c r="F498" s="14">
        <v>0.93554999999999999</v>
      </c>
      <c r="G498" s="10">
        <f t="shared" si="30"/>
        <v>-1.9000000000002075E-3</v>
      </c>
      <c r="H498" s="11">
        <f t="shared" si="31"/>
        <v>1.0296000000000103</v>
      </c>
    </row>
    <row r="499" spans="1:8" ht="13.8" thickBot="1">
      <c r="A499" s="13">
        <v>49.6</v>
      </c>
      <c r="B499" s="14">
        <v>0.93452000000000002</v>
      </c>
      <c r="C499" s="10">
        <f t="shared" si="28"/>
        <v>-1.9000000000002075E-3</v>
      </c>
      <c r="D499" s="11">
        <f t="shared" si="29"/>
        <v>1.0287600000000103</v>
      </c>
      <c r="E499" s="13">
        <v>49.6</v>
      </c>
      <c r="F499" s="14">
        <v>0.93535999999999997</v>
      </c>
      <c r="G499" s="10">
        <f t="shared" si="30"/>
        <v>-1.9000000000002075E-3</v>
      </c>
      <c r="H499" s="11">
        <f t="shared" si="31"/>
        <v>1.0296000000000103</v>
      </c>
    </row>
    <row r="500" spans="1:8" ht="13.8" thickBot="1">
      <c r="A500" s="13">
        <v>49.7</v>
      </c>
      <c r="B500" s="14">
        <v>0.93432999999999999</v>
      </c>
      <c r="C500" s="10">
        <f t="shared" si="28"/>
        <v>-1.9000000000003426E-3</v>
      </c>
      <c r="D500" s="11">
        <f t="shared" si="29"/>
        <v>1.028760000000017</v>
      </c>
      <c r="E500" s="13">
        <v>49.7</v>
      </c>
      <c r="F500" s="14">
        <v>0.93516999999999995</v>
      </c>
      <c r="G500" s="10">
        <f t="shared" si="30"/>
        <v>-1.8999999999992324E-3</v>
      </c>
      <c r="H500" s="11">
        <f t="shared" si="31"/>
        <v>1.0295999999999619</v>
      </c>
    </row>
    <row r="501" spans="1:8" ht="13.8" thickBot="1">
      <c r="A501" s="13">
        <v>49.8</v>
      </c>
      <c r="B501" s="14">
        <v>0.93413999999999997</v>
      </c>
      <c r="C501" s="10">
        <f t="shared" si="28"/>
        <v>-1.9000000000002075E-3</v>
      </c>
      <c r="D501" s="11">
        <f t="shared" si="29"/>
        <v>1.0287600000000103</v>
      </c>
      <c r="E501" s="13">
        <v>49.8</v>
      </c>
      <c r="F501" s="14">
        <v>0.93498000000000003</v>
      </c>
      <c r="G501" s="10">
        <f t="shared" si="30"/>
        <v>-1.9000000000002075E-3</v>
      </c>
      <c r="H501" s="11">
        <f t="shared" si="31"/>
        <v>1.0296000000000103</v>
      </c>
    </row>
    <row r="502" spans="1:8" ht="13.8" thickBot="1">
      <c r="A502" s="13">
        <v>49.9</v>
      </c>
      <c r="B502" s="14">
        <v>0.93394999999999995</v>
      </c>
      <c r="C502" s="10">
        <f t="shared" si="28"/>
        <v>-1.9999999999997511E-3</v>
      </c>
      <c r="D502" s="11">
        <f t="shared" si="29"/>
        <v>1.0337499999999875</v>
      </c>
      <c r="E502" s="13">
        <v>49.9</v>
      </c>
      <c r="F502" s="14">
        <v>0.93479000000000001</v>
      </c>
      <c r="G502" s="10">
        <f t="shared" si="30"/>
        <v>-1.9999999999997511E-3</v>
      </c>
      <c r="H502" s="11">
        <f t="shared" si="31"/>
        <v>1.0345899999999877</v>
      </c>
    </row>
    <row r="503" spans="1:8" ht="13.8" thickBot="1">
      <c r="A503" s="8">
        <v>50</v>
      </c>
      <c r="B503" s="17">
        <v>0.93374999999999997</v>
      </c>
      <c r="C503" s="10">
        <f t="shared" si="28"/>
        <v>-1.9000000000002075E-3</v>
      </c>
      <c r="D503" s="11">
        <f t="shared" si="29"/>
        <v>1.0287500000000103</v>
      </c>
      <c r="E503" s="8">
        <v>50</v>
      </c>
      <c r="F503" s="17">
        <v>0.93459000000000003</v>
      </c>
      <c r="G503" s="10">
        <f t="shared" si="30"/>
        <v>-1.9000000000002075E-3</v>
      </c>
      <c r="H503" s="11">
        <f t="shared" si="31"/>
        <v>1.0295900000000104</v>
      </c>
    </row>
    <row r="504" spans="1:8" ht="13.8" thickBot="1">
      <c r="A504" s="13">
        <v>50.1</v>
      </c>
      <c r="B504" s="14">
        <v>0.93355999999999995</v>
      </c>
      <c r="C504" s="10">
        <f t="shared" si="28"/>
        <v>-1.8999999999990977E-3</v>
      </c>
      <c r="D504" s="11">
        <f t="shared" si="29"/>
        <v>1.0287499999999548</v>
      </c>
      <c r="E504" s="13">
        <v>50.1</v>
      </c>
      <c r="F504" s="14">
        <v>0.93440000000000001</v>
      </c>
      <c r="G504" s="10">
        <f t="shared" si="30"/>
        <v>-1.9000000000002075E-3</v>
      </c>
      <c r="H504" s="11">
        <f t="shared" si="31"/>
        <v>1.0295900000000104</v>
      </c>
    </row>
    <row r="505" spans="1:8" ht="13.8" thickBot="1">
      <c r="A505" s="13">
        <v>50.2</v>
      </c>
      <c r="B505" s="14">
        <v>0.93337000000000003</v>
      </c>
      <c r="C505" s="10">
        <f t="shared" si="28"/>
        <v>-1.9999999999998934E-3</v>
      </c>
      <c r="D505" s="11">
        <f t="shared" si="29"/>
        <v>1.0337699999999947</v>
      </c>
      <c r="E505" s="13">
        <v>50.2</v>
      </c>
      <c r="F505" s="14">
        <v>0.93420999999999998</v>
      </c>
      <c r="G505" s="10">
        <f t="shared" si="30"/>
        <v>-1.9999999999998934E-3</v>
      </c>
      <c r="H505" s="11">
        <f t="shared" si="31"/>
        <v>1.0346099999999947</v>
      </c>
    </row>
    <row r="506" spans="1:8" ht="13.8" thickBot="1">
      <c r="A506" s="13">
        <v>50.3</v>
      </c>
      <c r="B506" s="14">
        <v>0.93317000000000005</v>
      </c>
      <c r="C506" s="10">
        <f t="shared" si="28"/>
        <v>-1.9000000000002075E-3</v>
      </c>
      <c r="D506" s="11">
        <f t="shared" si="29"/>
        <v>1.0287400000000106</v>
      </c>
      <c r="E506" s="13">
        <v>50.3</v>
      </c>
      <c r="F506" s="14">
        <v>0.93401000000000001</v>
      </c>
      <c r="G506" s="10">
        <f t="shared" si="30"/>
        <v>-1.9000000000002075E-3</v>
      </c>
      <c r="H506" s="11">
        <f t="shared" si="31"/>
        <v>1.0295800000000104</v>
      </c>
    </row>
    <row r="507" spans="1:8" ht="13.8" thickBot="1">
      <c r="A507" s="13">
        <v>50.4</v>
      </c>
      <c r="B507" s="14">
        <v>0.93298000000000003</v>
      </c>
      <c r="C507" s="10">
        <f t="shared" si="28"/>
        <v>-1.9999999999997511E-3</v>
      </c>
      <c r="D507" s="11">
        <f t="shared" si="29"/>
        <v>1.0337799999999875</v>
      </c>
      <c r="E507" s="13">
        <v>50.4</v>
      </c>
      <c r="F507" s="14">
        <v>0.93381999999999998</v>
      </c>
      <c r="G507" s="10">
        <f t="shared" si="30"/>
        <v>-1.9999999999997511E-3</v>
      </c>
      <c r="H507" s="11">
        <f t="shared" si="31"/>
        <v>1.0346199999999874</v>
      </c>
    </row>
    <row r="508" spans="1:8" ht="13.8" thickBot="1">
      <c r="A508" s="13">
        <v>50.5</v>
      </c>
      <c r="B508" s="14">
        <v>0.93278000000000005</v>
      </c>
      <c r="C508" s="10">
        <f t="shared" si="28"/>
        <v>-1.9000000000002075E-3</v>
      </c>
      <c r="D508" s="11">
        <f t="shared" si="29"/>
        <v>1.0287300000000106</v>
      </c>
      <c r="E508" s="13">
        <v>50.5</v>
      </c>
      <c r="F508" s="14">
        <v>0.93362000000000001</v>
      </c>
      <c r="G508" s="10">
        <f t="shared" si="30"/>
        <v>-1.9000000000002075E-3</v>
      </c>
      <c r="H508" s="11">
        <f t="shared" si="31"/>
        <v>1.0295700000000103</v>
      </c>
    </row>
    <row r="509" spans="1:8" ht="13.8" thickBot="1">
      <c r="A509" s="13">
        <v>50.6</v>
      </c>
      <c r="B509" s="14">
        <v>0.93259000000000003</v>
      </c>
      <c r="C509" s="10">
        <f t="shared" si="28"/>
        <v>-1.9999999999997511E-3</v>
      </c>
      <c r="D509" s="11">
        <f t="shared" si="29"/>
        <v>1.0337899999999873</v>
      </c>
      <c r="E509" s="13">
        <v>50.6</v>
      </c>
      <c r="F509" s="14">
        <v>0.93342999999999998</v>
      </c>
      <c r="G509" s="10">
        <f t="shared" si="30"/>
        <v>-1.9999999999997511E-3</v>
      </c>
      <c r="H509" s="11">
        <f t="shared" si="31"/>
        <v>1.0346299999999875</v>
      </c>
    </row>
    <row r="510" spans="1:8" ht="13.8" thickBot="1">
      <c r="A510" s="13">
        <v>50.7</v>
      </c>
      <c r="B510" s="14">
        <v>0.93239000000000005</v>
      </c>
      <c r="C510" s="10">
        <f t="shared" si="28"/>
        <v>-1.9000000000003426E-3</v>
      </c>
      <c r="D510" s="11">
        <f t="shared" si="29"/>
        <v>1.0287200000000174</v>
      </c>
      <c r="E510" s="13">
        <v>50.7</v>
      </c>
      <c r="F510" s="14">
        <v>0.93323</v>
      </c>
      <c r="G510" s="10">
        <f t="shared" si="30"/>
        <v>-1.9000000000003426E-3</v>
      </c>
      <c r="H510" s="11">
        <f t="shared" si="31"/>
        <v>1.0295600000000174</v>
      </c>
    </row>
    <row r="511" spans="1:8" ht="13.8" thickBot="1">
      <c r="A511" s="13">
        <v>50.8</v>
      </c>
      <c r="B511" s="14">
        <v>0.93220000000000003</v>
      </c>
      <c r="C511" s="10">
        <f t="shared" si="28"/>
        <v>-1.9999999999997511E-3</v>
      </c>
      <c r="D511" s="11">
        <f t="shared" si="29"/>
        <v>1.0337999999999874</v>
      </c>
      <c r="E511" s="13">
        <v>50.8</v>
      </c>
      <c r="F511" s="14">
        <v>0.93303999999999998</v>
      </c>
      <c r="G511" s="10">
        <f t="shared" si="30"/>
        <v>-1.9999999999997511E-3</v>
      </c>
      <c r="H511" s="11">
        <f t="shared" si="31"/>
        <v>1.0346399999999873</v>
      </c>
    </row>
    <row r="512" spans="1:8" ht="13.8" thickBot="1">
      <c r="A512" s="13">
        <v>50.9</v>
      </c>
      <c r="B512" s="14">
        <v>0.93200000000000005</v>
      </c>
      <c r="C512" s="10">
        <f t="shared" si="28"/>
        <v>-1.9000000000002075E-3</v>
      </c>
      <c r="D512" s="11">
        <f t="shared" si="29"/>
        <v>1.0287100000000104</v>
      </c>
      <c r="E512" s="13">
        <v>50.9</v>
      </c>
      <c r="F512" s="14">
        <v>0.93284</v>
      </c>
      <c r="G512" s="10">
        <f t="shared" si="30"/>
        <v>-1.9000000000002075E-3</v>
      </c>
      <c r="H512" s="11">
        <f t="shared" si="31"/>
        <v>1.0295500000000106</v>
      </c>
    </row>
    <row r="513" spans="1:8" ht="13.8" thickBot="1">
      <c r="A513" s="8">
        <v>51</v>
      </c>
      <c r="B513" s="17">
        <v>0.93181000000000003</v>
      </c>
      <c r="C513" s="10">
        <f t="shared" si="28"/>
        <v>-1.9999999999997511E-3</v>
      </c>
      <c r="D513" s="11">
        <f t="shared" si="29"/>
        <v>1.0338099999999872</v>
      </c>
      <c r="E513" s="8">
        <v>51</v>
      </c>
      <c r="F513" s="17">
        <v>0.93264999999999998</v>
      </c>
      <c r="G513" s="10">
        <f t="shared" si="30"/>
        <v>-1.9999999999997511E-3</v>
      </c>
      <c r="H513" s="11">
        <f t="shared" si="31"/>
        <v>1.0346499999999872</v>
      </c>
    </row>
    <row r="514" spans="1:8" ht="13.8" thickBot="1">
      <c r="A514" s="13">
        <v>51.1</v>
      </c>
      <c r="B514" s="14">
        <v>0.93161000000000005</v>
      </c>
      <c r="C514" s="10">
        <f t="shared" si="28"/>
        <v>-2.0000000000008613E-3</v>
      </c>
      <c r="D514" s="11">
        <f t="shared" si="29"/>
        <v>1.0338100000000441</v>
      </c>
      <c r="E514" s="13">
        <v>51.1</v>
      </c>
      <c r="F514" s="14">
        <v>0.93245</v>
      </c>
      <c r="G514" s="10">
        <f t="shared" si="30"/>
        <v>-1.9999999999997511E-3</v>
      </c>
      <c r="H514" s="11">
        <f t="shared" si="31"/>
        <v>1.0346499999999872</v>
      </c>
    </row>
    <row r="515" spans="1:8" ht="13.8" thickBot="1">
      <c r="A515" s="13">
        <v>51.2</v>
      </c>
      <c r="B515" s="14">
        <v>0.93140999999999996</v>
      </c>
      <c r="C515" s="10">
        <f t="shared" si="28"/>
        <v>-1.9999999999998934E-3</v>
      </c>
      <c r="D515" s="11">
        <f t="shared" si="29"/>
        <v>1.0338099999999946</v>
      </c>
      <c r="E515" s="13">
        <v>51.2</v>
      </c>
      <c r="F515" s="14">
        <v>0.93225000000000002</v>
      </c>
      <c r="G515" s="10">
        <f t="shared" si="30"/>
        <v>-1.9999999999998934E-3</v>
      </c>
      <c r="H515" s="11">
        <f t="shared" si="31"/>
        <v>1.0346499999999945</v>
      </c>
    </row>
    <row r="516" spans="1:8" ht="13.8" thickBot="1">
      <c r="A516" s="13">
        <v>51.3</v>
      </c>
      <c r="B516" s="14">
        <v>0.93120999999999998</v>
      </c>
      <c r="C516" s="10">
        <f t="shared" ref="C516:C579" si="32">SLOPE(B516:B517,A516:A517)</f>
        <v>-1.9000000000002075E-3</v>
      </c>
      <c r="D516" s="11">
        <f t="shared" ref="D516:D579" si="33">INTERCEPT(B516:B517,A516:A517)</f>
        <v>1.0286800000000105</v>
      </c>
      <c r="E516" s="13">
        <v>51.3</v>
      </c>
      <c r="F516" s="14">
        <v>0.93205000000000005</v>
      </c>
      <c r="G516" s="10">
        <f t="shared" ref="G516:G579" si="34">SLOPE(F516:F517,E516:E517)</f>
        <v>-1.9000000000002075E-3</v>
      </c>
      <c r="H516" s="11">
        <f t="shared" ref="H516:H579" si="35">INTERCEPT(F516:F517,E516:E517)</f>
        <v>1.0295200000000106</v>
      </c>
    </row>
    <row r="517" spans="1:8" ht="13.8" thickBot="1">
      <c r="A517" s="13">
        <v>51.4</v>
      </c>
      <c r="B517" s="14">
        <v>0.93101999999999996</v>
      </c>
      <c r="C517" s="10">
        <f t="shared" si="32"/>
        <v>-1.9999999999997511E-3</v>
      </c>
      <c r="D517" s="11">
        <f t="shared" si="33"/>
        <v>1.0338199999999871</v>
      </c>
      <c r="E517" s="13">
        <v>51.4</v>
      </c>
      <c r="F517" s="14">
        <v>0.93186000000000002</v>
      </c>
      <c r="G517" s="10">
        <f t="shared" si="34"/>
        <v>-1.9999999999997511E-3</v>
      </c>
      <c r="H517" s="11">
        <f t="shared" si="35"/>
        <v>1.0346599999999873</v>
      </c>
    </row>
    <row r="518" spans="1:8" ht="13.8" thickBot="1">
      <c r="A518" s="13">
        <v>51.5</v>
      </c>
      <c r="B518" s="14">
        <v>0.93081999999999998</v>
      </c>
      <c r="C518" s="10">
        <f t="shared" si="32"/>
        <v>-1.9999999999997511E-3</v>
      </c>
      <c r="D518" s="11">
        <f t="shared" si="33"/>
        <v>1.0338199999999871</v>
      </c>
      <c r="E518" s="13">
        <v>51.5</v>
      </c>
      <c r="F518" s="14">
        <v>0.93166000000000004</v>
      </c>
      <c r="G518" s="10">
        <f t="shared" si="34"/>
        <v>-2.0000000000008613E-3</v>
      </c>
      <c r="H518" s="11">
        <f t="shared" si="35"/>
        <v>1.0346600000000443</v>
      </c>
    </row>
    <row r="519" spans="1:8" ht="13.8" thickBot="1">
      <c r="A519" s="13">
        <v>51.6</v>
      </c>
      <c r="B519" s="14">
        <v>0.93062</v>
      </c>
      <c r="C519" s="10">
        <f t="shared" si="32"/>
        <v>-1.9999999999997511E-3</v>
      </c>
      <c r="D519" s="11">
        <f t="shared" si="33"/>
        <v>1.0338199999999871</v>
      </c>
      <c r="E519" s="13">
        <v>51.6</v>
      </c>
      <c r="F519" s="14">
        <v>0.93145999999999995</v>
      </c>
      <c r="G519" s="10">
        <f t="shared" si="34"/>
        <v>-1.9999999999997511E-3</v>
      </c>
      <c r="H519" s="11">
        <f t="shared" si="35"/>
        <v>1.034659999999987</v>
      </c>
    </row>
    <row r="520" spans="1:8" ht="13.8" thickBot="1">
      <c r="A520" s="13">
        <v>51.7</v>
      </c>
      <c r="B520" s="14">
        <v>0.93042000000000002</v>
      </c>
      <c r="C520" s="10">
        <f t="shared" si="32"/>
        <v>-1.9999999999998934E-3</v>
      </c>
      <c r="D520" s="11">
        <f t="shared" si="33"/>
        <v>1.0338199999999946</v>
      </c>
      <c r="E520" s="13">
        <v>51.7</v>
      </c>
      <c r="F520" s="14">
        <v>0.93125999999999998</v>
      </c>
      <c r="G520" s="10">
        <f t="shared" si="34"/>
        <v>-1.9999999999998934E-3</v>
      </c>
      <c r="H520" s="11">
        <f t="shared" si="35"/>
        <v>1.0346599999999944</v>
      </c>
    </row>
    <row r="521" spans="1:8" ht="13.8" thickBot="1">
      <c r="A521" s="13">
        <v>51.8</v>
      </c>
      <c r="B521" s="14">
        <v>0.93022000000000005</v>
      </c>
      <c r="C521" s="10">
        <f t="shared" si="32"/>
        <v>-1.9000000000002075E-3</v>
      </c>
      <c r="D521" s="11">
        <f t="shared" si="33"/>
        <v>1.0286400000000109</v>
      </c>
      <c r="E521" s="13">
        <v>51.8</v>
      </c>
      <c r="F521" s="14">
        <v>0.93106</v>
      </c>
      <c r="G521" s="10">
        <f t="shared" si="34"/>
        <v>-1.9000000000002075E-3</v>
      </c>
      <c r="H521" s="11">
        <f t="shared" si="35"/>
        <v>1.0294800000000108</v>
      </c>
    </row>
    <row r="522" spans="1:8" ht="13.8" thickBot="1">
      <c r="A522" s="13">
        <v>51.9</v>
      </c>
      <c r="B522" s="14">
        <v>0.93003000000000002</v>
      </c>
      <c r="C522" s="10">
        <f t="shared" si="32"/>
        <v>-1.9999999999997511E-3</v>
      </c>
      <c r="D522" s="11">
        <f t="shared" si="33"/>
        <v>1.0338299999999871</v>
      </c>
      <c r="E522" s="13">
        <v>51.9</v>
      </c>
      <c r="F522" s="14">
        <v>0.93086999999999998</v>
      </c>
      <c r="G522" s="10">
        <f t="shared" si="34"/>
        <v>-1.9999999999997511E-3</v>
      </c>
      <c r="H522" s="11">
        <f t="shared" si="35"/>
        <v>1.0346699999999871</v>
      </c>
    </row>
    <row r="523" spans="1:8" ht="13.8" thickBot="1">
      <c r="A523" s="8">
        <v>52</v>
      </c>
      <c r="B523" s="17">
        <v>0.92983000000000005</v>
      </c>
      <c r="C523" s="10">
        <f t="shared" si="32"/>
        <v>-2.0000000000008613E-3</v>
      </c>
      <c r="D523" s="11">
        <f t="shared" si="33"/>
        <v>1.0338300000000449</v>
      </c>
      <c r="E523" s="8">
        <v>52</v>
      </c>
      <c r="F523" s="17">
        <v>0.93067</v>
      </c>
      <c r="G523" s="10">
        <f t="shared" si="34"/>
        <v>-1.9999999999997511E-3</v>
      </c>
      <c r="H523" s="11">
        <f t="shared" si="35"/>
        <v>1.0346699999999871</v>
      </c>
    </row>
    <row r="524" spans="1:8" ht="13.8" thickBot="1">
      <c r="A524" s="13">
        <v>52.1</v>
      </c>
      <c r="B524" s="14">
        <v>0.92962999999999996</v>
      </c>
      <c r="C524" s="10">
        <f t="shared" si="32"/>
        <v>-1.9999999999997511E-3</v>
      </c>
      <c r="D524" s="11">
        <f t="shared" si="33"/>
        <v>1.0338299999999869</v>
      </c>
      <c r="E524" s="13">
        <v>52.1</v>
      </c>
      <c r="F524" s="14">
        <v>0.93047000000000002</v>
      </c>
      <c r="G524" s="10">
        <f t="shared" si="34"/>
        <v>-1.9999999999997511E-3</v>
      </c>
      <c r="H524" s="11">
        <f t="shared" si="35"/>
        <v>1.0346699999999871</v>
      </c>
    </row>
    <row r="525" spans="1:8" ht="13.8" thickBot="1">
      <c r="A525" s="13">
        <v>52.2</v>
      </c>
      <c r="B525" s="14">
        <v>0.92942999999999998</v>
      </c>
      <c r="C525" s="10">
        <f t="shared" si="32"/>
        <v>-1.9999999999998934E-3</v>
      </c>
      <c r="D525" s="11">
        <f t="shared" si="33"/>
        <v>1.0338299999999945</v>
      </c>
      <c r="E525" s="13">
        <v>52.2</v>
      </c>
      <c r="F525" s="14">
        <v>0.93027000000000004</v>
      </c>
      <c r="G525" s="10">
        <f t="shared" si="34"/>
        <v>-2.0000000000010036E-3</v>
      </c>
      <c r="H525" s="11">
        <f t="shared" si="35"/>
        <v>1.0346700000000524</v>
      </c>
    </row>
    <row r="526" spans="1:8" ht="13.8" thickBot="1">
      <c r="A526" s="13">
        <v>52.3</v>
      </c>
      <c r="B526" s="14">
        <v>0.92923</v>
      </c>
      <c r="C526" s="10">
        <f t="shared" si="32"/>
        <v>-1.9999999999997511E-3</v>
      </c>
      <c r="D526" s="11">
        <f t="shared" si="33"/>
        <v>1.0338299999999869</v>
      </c>
      <c r="E526" s="13">
        <v>52.3</v>
      </c>
      <c r="F526" s="14">
        <v>0.93006999999999995</v>
      </c>
      <c r="G526" s="10">
        <f t="shared" si="34"/>
        <v>-1.9999999999997511E-3</v>
      </c>
      <c r="H526" s="11">
        <f t="shared" si="35"/>
        <v>1.0346699999999869</v>
      </c>
    </row>
    <row r="527" spans="1:8" ht="13.8" thickBot="1">
      <c r="A527" s="13">
        <v>52.4</v>
      </c>
      <c r="B527" s="14">
        <v>0.92903000000000002</v>
      </c>
      <c r="C527" s="10">
        <f t="shared" si="32"/>
        <v>-2.1000000000004045E-3</v>
      </c>
      <c r="D527" s="11">
        <f t="shared" si="33"/>
        <v>1.0390700000000213</v>
      </c>
      <c r="E527" s="13">
        <v>52.4</v>
      </c>
      <c r="F527" s="14">
        <v>0.92986999999999997</v>
      </c>
      <c r="G527" s="10">
        <f t="shared" si="34"/>
        <v>-2.0999999999992947E-3</v>
      </c>
      <c r="H527" s="11">
        <f t="shared" si="35"/>
        <v>1.039909999999963</v>
      </c>
    </row>
    <row r="528" spans="1:8" ht="13.8" thickBot="1">
      <c r="A528" s="13">
        <v>52.5</v>
      </c>
      <c r="B528" s="14">
        <v>0.92881999999999998</v>
      </c>
      <c r="C528" s="10">
        <f t="shared" si="32"/>
        <v>-1.9999999999997511E-3</v>
      </c>
      <c r="D528" s="11">
        <f t="shared" si="33"/>
        <v>1.0338199999999869</v>
      </c>
      <c r="E528" s="13">
        <v>52.5</v>
      </c>
      <c r="F528" s="14">
        <v>0.92966000000000004</v>
      </c>
      <c r="G528" s="10">
        <f t="shared" si="34"/>
        <v>-2.0000000000008613E-3</v>
      </c>
      <c r="H528" s="11">
        <f t="shared" si="35"/>
        <v>1.0346600000000452</v>
      </c>
    </row>
    <row r="529" spans="1:8" ht="13.8" thickBot="1">
      <c r="A529" s="13">
        <v>52.6</v>
      </c>
      <c r="B529" s="14">
        <v>0.92862</v>
      </c>
      <c r="C529" s="10">
        <f t="shared" si="32"/>
        <v>-1.9999999999997511E-3</v>
      </c>
      <c r="D529" s="11">
        <f t="shared" si="33"/>
        <v>1.0338199999999869</v>
      </c>
      <c r="E529" s="13">
        <v>52.6</v>
      </c>
      <c r="F529" s="14">
        <v>0.92945999999999995</v>
      </c>
      <c r="G529" s="10">
        <f t="shared" si="34"/>
        <v>-1.9999999999997511E-3</v>
      </c>
      <c r="H529" s="11">
        <f t="shared" si="35"/>
        <v>1.0346599999999868</v>
      </c>
    </row>
    <row r="530" spans="1:8" ht="13.8" thickBot="1">
      <c r="A530" s="13">
        <v>52.7</v>
      </c>
      <c r="B530" s="14">
        <v>0.92842000000000002</v>
      </c>
      <c r="C530" s="10">
        <f t="shared" si="32"/>
        <v>-1.9999999999998934E-3</v>
      </c>
      <c r="D530" s="11">
        <f t="shared" si="33"/>
        <v>1.0338199999999944</v>
      </c>
      <c r="E530" s="13">
        <v>52.7</v>
      </c>
      <c r="F530" s="14">
        <v>0.92925999999999997</v>
      </c>
      <c r="G530" s="10">
        <f t="shared" si="34"/>
        <v>-1.9999999999998934E-3</v>
      </c>
      <c r="H530" s="11">
        <f t="shared" si="35"/>
        <v>1.0346599999999944</v>
      </c>
    </row>
    <row r="531" spans="1:8" ht="13.8" thickBot="1">
      <c r="A531" s="13">
        <v>52.8</v>
      </c>
      <c r="B531" s="14">
        <v>0.92822000000000005</v>
      </c>
      <c r="C531" s="10">
        <f t="shared" si="32"/>
        <v>-2.0000000000008613E-3</v>
      </c>
      <c r="D531" s="11">
        <f t="shared" si="33"/>
        <v>1.0338200000000455</v>
      </c>
      <c r="E531" s="13">
        <v>52.8</v>
      </c>
      <c r="F531" s="14">
        <v>0.92906</v>
      </c>
      <c r="G531" s="10">
        <f t="shared" si="34"/>
        <v>-1.9999999999997511E-3</v>
      </c>
      <c r="H531" s="11">
        <f t="shared" si="35"/>
        <v>1.0346599999999868</v>
      </c>
    </row>
    <row r="532" spans="1:8" ht="13.8" thickBot="1">
      <c r="A532" s="13">
        <v>52.9</v>
      </c>
      <c r="B532" s="14">
        <v>0.92801999999999996</v>
      </c>
      <c r="C532" s="10">
        <f t="shared" si="32"/>
        <v>-1.9999999999997511E-3</v>
      </c>
      <c r="D532" s="11">
        <f t="shared" si="33"/>
        <v>1.0338199999999869</v>
      </c>
      <c r="E532" s="13">
        <v>52.9</v>
      </c>
      <c r="F532" s="14">
        <v>0.92886000000000002</v>
      </c>
      <c r="G532" s="10">
        <f t="shared" si="34"/>
        <v>-1.9999999999997511E-3</v>
      </c>
      <c r="H532" s="11">
        <f t="shared" si="35"/>
        <v>1.0346599999999868</v>
      </c>
    </row>
    <row r="533" spans="1:8" ht="13.8" thickBot="1">
      <c r="A533" s="8">
        <v>53</v>
      </c>
      <c r="B533" s="17">
        <v>0.92781999999999998</v>
      </c>
      <c r="C533" s="10">
        <f t="shared" si="32"/>
        <v>-2.0999999999992947E-3</v>
      </c>
      <c r="D533" s="11">
        <f t="shared" si="33"/>
        <v>1.0391199999999627</v>
      </c>
      <c r="E533" s="8">
        <v>53</v>
      </c>
      <c r="F533" s="17">
        <v>0.92866000000000004</v>
      </c>
      <c r="G533" s="10">
        <f t="shared" si="34"/>
        <v>-2.1000000000004045E-3</v>
      </c>
      <c r="H533" s="11">
        <f t="shared" si="35"/>
        <v>1.0399600000000215</v>
      </c>
    </row>
    <row r="534" spans="1:8" ht="13.8" thickBot="1">
      <c r="A534" s="13">
        <v>53.1</v>
      </c>
      <c r="B534" s="14">
        <v>0.92761000000000005</v>
      </c>
      <c r="C534" s="10">
        <f t="shared" si="32"/>
        <v>-2.0000000000008613E-3</v>
      </c>
      <c r="D534" s="11">
        <f t="shared" si="33"/>
        <v>1.0338100000000459</v>
      </c>
      <c r="E534" s="13">
        <v>53.1</v>
      </c>
      <c r="F534" s="14">
        <v>0.92845</v>
      </c>
      <c r="G534" s="10">
        <f t="shared" si="34"/>
        <v>-1.9999999999997511E-3</v>
      </c>
      <c r="H534" s="11">
        <f t="shared" si="35"/>
        <v>1.0346499999999867</v>
      </c>
    </row>
    <row r="535" spans="1:8" ht="13.8" thickBot="1">
      <c r="A535" s="13">
        <v>53.2</v>
      </c>
      <c r="B535" s="14">
        <v>0.92740999999999996</v>
      </c>
      <c r="C535" s="10">
        <f t="shared" si="32"/>
        <v>-1.9999999999998934E-3</v>
      </c>
      <c r="D535" s="11">
        <f t="shared" si="33"/>
        <v>1.0338099999999943</v>
      </c>
      <c r="E535" s="13">
        <v>53.2</v>
      </c>
      <c r="F535" s="14">
        <v>0.92825000000000002</v>
      </c>
      <c r="G535" s="10">
        <f t="shared" si="34"/>
        <v>-1.9999999999998934E-3</v>
      </c>
      <c r="H535" s="11">
        <f t="shared" si="35"/>
        <v>1.0346499999999943</v>
      </c>
    </row>
    <row r="536" spans="1:8" ht="13.8" thickBot="1">
      <c r="A536" s="13">
        <v>53.3</v>
      </c>
      <c r="B536" s="14">
        <v>0.92720999999999998</v>
      </c>
      <c r="C536" s="10">
        <f t="shared" si="32"/>
        <v>-2.0999999999992947E-3</v>
      </c>
      <c r="D536" s="11">
        <f t="shared" si="33"/>
        <v>1.0391399999999624</v>
      </c>
      <c r="E536" s="13">
        <v>53.3</v>
      </c>
      <c r="F536" s="14">
        <v>0.92805000000000004</v>
      </c>
      <c r="G536" s="10">
        <f t="shared" si="34"/>
        <v>-2.1000000000004045E-3</v>
      </c>
      <c r="H536" s="11">
        <f t="shared" si="35"/>
        <v>1.0399800000000217</v>
      </c>
    </row>
    <row r="537" spans="1:8" ht="13.8" thickBot="1">
      <c r="A537" s="13">
        <v>53.4</v>
      </c>
      <c r="B537" s="14">
        <v>0.92700000000000005</v>
      </c>
      <c r="C537" s="10">
        <f t="shared" si="32"/>
        <v>-2.0000000000008613E-3</v>
      </c>
      <c r="D537" s="11">
        <f t="shared" si="33"/>
        <v>1.033800000000046</v>
      </c>
      <c r="E537" s="13">
        <v>53.4</v>
      </c>
      <c r="F537" s="14">
        <v>0.92784</v>
      </c>
      <c r="G537" s="10">
        <f t="shared" si="34"/>
        <v>-2.1000000000004045E-3</v>
      </c>
      <c r="H537" s="11">
        <f t="shared" si="35"/>
        <v>1.0399800000000217</v>
      </c>
    </row>
    <row r="538" spans="1:8" ht="13.8" thickBot="1">
      <c r="A538" s="13">
        <v>53.5</v>
      </c>
      <c r="B538" s="14">
        <v>0.92679999999999996</v>
      </c>
      <c r="C538" s="10">
        <f t="shared" si="32"/>
        <v>-1.9999999999997511E-3</v>
      </c>
      <c r="D538" s="11">
        <f t="shared" si="33"/>
        <v>1.0337999999999867</v>
      </c>
      <c r="E538" s="13">
        <v>53.5</v>
      </c>
      <c r="F538" s="14">
        <v>0.92762999999999995</v>
      </c>
      <c r="G538" s="10">
        <f t="shared" si="34"/>
        <v>-1.9999999999997511E-3</v>
      </c>
      <c r="H538" s="11">
        <f t="shared" si="35"/>
        <v>1.0346299999999866</v>
      </c>
    </row>
    <row r="539" spans="1:8" ht="13.8" thickBot="1">
      <c r="A539" s="13">
        <v>53.6</v>
      </c>
      <c r="B539" s="14">
        <v>0.92659999999999998</v>
      </c>
      <c r="C539" s="10">
        <f t="shared" si="32"/>
        <v>-2.0999999999992947E-3</v>
      </c>
      <c r="D539" s="11">
        <f t="shared" si="33"/>
        <v>1.0391599999999623</v>
      </c>
      <c r="E539" s="13">
        <v>53.6</v>
      </c>
      <c r="F539" s="14">
        <v>0.92742999999999998</v>
      </c>
      <c r="G539" s="10">
        <f t="shared" si="34"/>
        <v>-2.0999999999992947E-3</v>
      </c>
      <c r="H539" s="11">
        <f t="shared" si="35"/>
        <v>1.0399899999999622</v>
      </c>
    </row>
    <row r="540" spans="1:8" ht="13.8" thickBot="1">
      <c r="A540" s="13">
        <v>53.7</v>
      </c>
      <c r="B540" s="14">
        <v>0.92639000000000005</v>
      </c>
      <c r="C540" s="10">
        <f t="shared" si="32"/>
        <v>-2.0000000000010036E-3</v>
      </c>
      <c r="D540" s="11">
        <f t="shared" si="33"/>
        <v>1.0337900000000539</v>
      </c>
      <c r="E540" s="13">
        <v>53.7</v>
      </c>
      <c r="F540" s="14">
        <v>0.92722000000000004</v>
      </c>
      <c r="G540" s="10">
        <f t="shared" si="34"/>
        <v>-2.0000000000010036E-3</v>
      </c>
      <c r="H540" s="11">
        <f t="shared" si="35"/>
        <v>1.0346200000000538</v>
      </c>
    </row>
    <row r="541" spans="1:8" ht="13.8" thickBot="1">
      <c r="A541" s="13">
        <v>53.8</v>
      </c>
      <c r="B541" s="14">
        <v>0.92618999999999996</v>
      </c>
      <c r="C541" s="10">
        <f t="shared" si="32"/>
        <v>-2.0999999999992947E-3</v>
      </c>
      <c r="D541" s="11">
        <f t="shared" si="33"/>
        <v>1.039169999999962</v>
      </c>
      <c r="E541" s="13">
        <v>53.8</v>
      </c>
      <c r="F541" s="14">
        <v>0.92701999999999996</v>
      </c>
      <c r="G541" s="10">
        <f t="shared" si="34"/>
        <v>-2.0999999999992947E-3</v>
      </c>
      <c r="H541" s="11">
        <f t="shared" si="35"/>
        <v>1.0399999999999618</v>
      </c>
    </row>
    <row r="542" spans="1:8" ht="13.8" thickBot="1">
      <c r="A542" s="13">
        <v>53.9</v>
      </c>
      <c r="B542" s="14">
        <v>0.92598000000000003</v>
      </c>
      <c r="C542" s="10">
        <f t="shared" si="32"/>
        <v>-1.9999999999997511E-3</v>
      </c>
      <c r="D542" s="11">
        <f t="shared" si="33"/>
        <v>1.0337799999999866</v>
      </c>
      <c r="E542" s="13">
        <v>53.9</v>
      </c>
      <c r="F542" s="14">
        <v>0.92681000000000002</v>
      </c>
      <c r="G542" s="10">
        <f t="shared" si="34"/>
        <v>-1.9999999999997511E-3</v>
      </c>
      <c r="H542" s="11">
        <f t="shared" si="35"/>
        <v>1.0346099999999867</v>
      </c>
    </row>
    <row r="543" spans="1:8" ht="13.8" thickBot="1">
      <c r="A543" s="8">
        <v>54</v>
      </c>
      <c r="B543" s="17">
        <v>0.92578000000000005</v>
      </c>
      <c r="C543" s="10">
        <f t="shared" si="32"/>
        <v>-2.1000000000004045E-3</v>
      </c>
      <c r="D543" s="11">
        <f t="shared" si="33"/>
        <v>1.039180000000022</v>
      </c>
      <c r="E543" s="8">
        <v>54</v>
      </c>
      <c r="F543" s="17">
        <v>0.92661000000000004</v>
      </c>
      <c r="G543" s="10">
        <f t="shared" si="34"/>
        <v>-2.1000000000004045E-3</v>
      </c>
      <c r="H543" s="11">
        <f t="shared" si="35"/>
        <v>1.0400100000000219</v>
      </c>
    </row>
    <row r="544" spans="1:8" ht="13.8" thickBot="1">
      <c r="A544" s="13">
        <v>54.1</v>
      </c>
      <c r="B544" s="14">
        <v>0.92557</v>
      </c>
      <c r="C544" s="10">
        <f t="shared" si="32"/>
        <v>-2.1000000000004045E-3</v>
      </c>
      <c r="D544" s="11">
        <f t="shared" si="33"/>
        <v>1.039180000000022</v>
      </c>
      <c r="E544" s="13">
        <v>54.1</v>
      </c>
      <c r="F544" s="14">
        <v>0.9264</v>
      </c>
      <c r="G544" s="10">
        <f t="shared" si="34"/>
        <v>-2.1000000000004045E-3</v>
      </c>
      <c r="H544" s="11">
        <f t="shared" si="35"/>
        <v>1.0400100000000219</v>
      </c>
    </row>
    <row r="545" spans="1:8" ht="13.8" thickBot="1">
      <c r="A545" s="13">
        <v>54.2</v>
      </c>
      <c r="B545" s="14">
        <v>0.92535999999999996</v>
      </c>
      <c r="C545" s="10">
        <f t="shared" si="32"/>
        <v>-1.9999999999998934E-3</v>
      </c>
      <c r="D545" s="11">
        <f t="shared" si="33"/>
        <v>1.0337599999999942</v>
      </c>
      <c r="E545" s="13">
        <v>54.2</v>
      </c>
      <c r="F545" s="14">
        <v>0.92618999999999996</v>
      </c>
      <c r="G545" s="10">
        <f t="shared" si="34"/>
        <v>-1.9999999999998934E-3</v>
      </c>
      <c r="H545" s="11">
        <f t="shared" si="35"/>
        <v>1.0345899999999941</v>
      </c>
    </row>
    <row r="546" spans="1:8" ht="13.8" thickBot="1">
      <c r="A546" s="13">
        <v>54.3</v>
      </c>
      <c r="B546" s="14">
        <v>0.92515999999999998</v>
      </c>
      <c r="C546" s="10">
        <f t="shared" si="32"/>
        <v>-2.0999999999992947E-3</v>
      </c>
      <c r="D546" s="11">
        <f t="shared" si="33"/>
        <v>1.0391899999999616</v>
      </c>
      <c r="E546" s="13">
        <v>54.3</v>
      </c>
      <c r="F546" s="14">
        <v>0.92598999999999998</v>
      </c>
      <c r="G546" s="10">
        <f t="shared" si="34"/>
        <v>-2.0999999999992947E-3</v>
      </c>
      <c r="H546" s="11">
        <f t="shared" si="35"/>
        <v>1.0400199999999618</v>
      </c>
    </row>
    <row r="547" spans="1:8" ht="13.8" thickBot="1">
      <c r="A547" s="13">
        <v>54.4</v>
      </c>
      <c r="B547" s="14">
        <v>0.92495000000000005</v>
      </c>
      <c r="C547" s="10">
        <f t="shared" si="32"/>
        <v>-2.1000000000004045E-3</v>
      </c>
      <c r="D547" s="11">
        <f t="shared" si="33"/>
        <v>1.039190000000022</v>
      </c>
      <c r="E547" s="13">
        <v>54.4</v>
      </c>
      <c r="F547" s="14">
        <v>0.92578000000000005</v>
      </c>
      <c r="G547" s="10">
        <f t="shared" si="34"/>
        <v>-2.1000000000004045E-3</v>
      </c>
      <c r="H547" s="11">
        <f t="shared" si="35"/>
        <v>1.0400200000000221</v>
      </c>
    </row>
    <row r="548" spans="1:8" ht="13.8" thickBot="1">
      <c r="A548" s="13">
        <v>54.5</v>
      </c>
      <c r="B548" s="14">
        <v>0.92474000000000001</v>
      </c>
      <c r="C548" s="10">
        <f t="shared" si="32"/>
        <v>-1.9999999999997511E-3</v>
      </c>
      <c r="D548" s="11">
        <f t="shared" si="33"/>
        <v>1.0337399999999863</v>
      </c>
      <c r="E548" s="13">
        <v>54.5</v>
      </c>
      <c r="F548" s="14">
        <v>0.92557</v>
      </c>
      <c r="G548" s="10">
        <f t="shared" si="34"/>
        <v>-1.9999999999997511E-3</v>
      </c>
      <c r="H548" s="11">
        <f t="shared" si="35"/>
        <v>1.0345699999999864</v>
      </c>
    </row>
    <row r="549" spans="1:8" ht="13.8" thickBot="1">
      <c r="A549" s="13">
        <v>54.6</v>
      </c>
      <c r="B549" s="14">
        <v>0.92454000000000003</v>
      </c>
      <c r="C549" s="10">
        <f t="shared" si="32"/>
        <v>-2.1000000000004045E-3</v>
      </c>
      <c r="D549" s="11">
        <f t="shared" si="33"/>
        <v>1.0392000000000221</v>
      </c>
      <c r="E549" s="13">
        <v>54.6</v>
      </c>
      <c r="F549" s="14">
        <v>0.92537000000000003</v>
      </c>
      <c r="G549" s="10">
        <f t="shared" si="34"/>
        <v>-2.1000000000004045E-3</v>
      </c>
      <c r="H549" s="11">
        <f t="shared" si="35"/>
        <v>1.0400300000000222</v>
      </c>
    </row>
    <row r="550" spans="1:8" ht="13.8" thickBot="1">
      <c r="A550" s="13">
        <v>54.7</v>
      </c>
      <c r="B550" s="14">
        <v>0.92432999999999998</v>
      </c>
      <c r="C550" s="10">
        <f t="shared" si="32"/>
        <v>-2.0999999999994439E-3</v>
      </c>
      <c r="D550" s="11">
        <f t="shared" si="33"/>
        <v>1.0391999999999697</v>
      </c>
      <c r="E550" s="13">
        <v>54.7</v>
      </c>
      <c r="F550" s="14">
        <v>0.92515999999999998</v>
      </c>
      <c r="G550" s="10">
        <f t="shared" si="34"/>
        <v>-2.0999999999994439E-3</v>
      </c>
      <c r="H550" s="11">
        <f t="shared" si="35"/>
        <v>1.0400299999999696</v>
      </c>
    </row>
    <row r="551" spans="1:8" ht="13.8" thickBot="1">
      <c r="A551" s="13">
        <v>54.8</v>
      </c>
      <c r="B551" s="14">
        <v>0.92412000000000005</v>
      </c>
      <c r="C551" s="10">
        <f t="shared" si="32"/>
        <v>-2.1000000000004045E-3</v>
      </c>
      <c r="D551" s="11">
        <f t="shared" si="33"/>
        <v>1.0392000000000221</v>
      </c>
      <c r="E551" s="13">
        <v>54.8</v>
      </c>
      <c r="F551" s="14">
        <v>0.92495000000000005</v>
      </c>
      <c r="G551" s="10">
        <f t="shared" si="34"/>
        <v>-2.1000000000004045E-3</v>
      </c>
      <c r="H551" s="11">
        <f t="shared" si="35"/>
        <v>1.0400300000000222</v>
      </c>
    </row>
    <row r="552" spans="1:8" ht="13.8" thickBot="1">
      <c r="A552" s="13">
        <v>54.9</v>
      </c>
      <c r="B552" s="14">
        <v>0.92391000000000001</v>
      </c>
      <c r="C552" s="10">
        <f t="shared" si="32"/>
        <v>-1.9999999999997511E-3</v>
      </c>
      <c r="D552" s="11">
        <f t="shared" si="33"/>
        <v>1.0337099999999864</v>
      </c>
      <c r="E552" s="13">
        <v>54.9</v>
      </c>
      <c r="F552" s="14">
        <v>0.92474000000000001</v>
      </c>
      <c r="G552" s="10">
        <f t="shared" si="34"/>
        <v>-1.9999999999997511E-3</v>
      </c>
      <c r="H552" s="11">
        <f t="shared" si="35"/>
        <v>1.0345399999999862</v>
      </c>
    </row>
    <row r="553" spans="1:8" ht="13.8" thickBot="1">
      <c r="A553" s="8">
        <v>55</v>
      </c>
      <c r="B553" s="17">
        <v>0.92371000000000003</v>
      </c>
      <c r="C553" s="10">
        <f t="shared" si="32"/>
        <v>-2.1000000000004045E-3</v>
      </c>
      <c r="D553" s="11">
        <f t="shared" si="33"/>
        <v>1.0392100000000222</v>
      </c>
      <c r="E553" s="8">
        <v>55</v>
      </c>
      <c r="F553" s="17">
        <v>0.92454000000000003</v>
      </c>
      <c r="G553" s="10">
        <f t="shared" si="34"/>
        <v>-2.1000000000004045E-3</v>
      </c>
      <c r="H553" s="11">
        <f t="shared" si="35"/>
        <v>1.0400400000000223</v>
      </c>
    </row>
    <row r="554" spans="1:8" ht="13.8" thickBot="1">
      <c r="A554" s="13">
        <v>55.1</v>
      </c>
      <c r="B554" s="14">
        <v>0.92349999999999999</v>
      </c>
      <c r="C554" s="10">
        <f t="shared" si="32"/>
        <v>-2.0999999999992947E-3</v>
      </c>
      <c r="D554" s="11">
        <f t="shared" si="33"/>
        <v>1.0392099999999611</v>
      </c>
      <c r="E554" s="13">
        <v>55.1</v>
      </c>
      <c r="F554" s="14">
        <v>0.92432999999999998</v>
      </c>
      <c r="G554" s="10">
        <f t="shared" si="34"/>
        <v>-2.0999999999992947E-3</v>
      </c>
      <c r="H554" s="11">
        <f t="shared" si="35"/>
        <v>1.0400399999999612</v>
      </c>
    </row>
    <row r="555" spans="1:8" ht="13.8" thickBot="1">
      <c r="A555" s="13">
        <v>55.2</v>
      </c>
      <c r="B555" s="14">
        <v>0.92329000000000006</v>
      </c>
      <c r="C555" s="10">
        <f t="shared" si="32"/>
        <v>-2.1000000000005537E-3</v>
      </c>
      <c r="D555" s="11">
        <f t="shared" si="33"/>
        <v>1.0392100000000306</v>
      </c>
      <c r="E555" s="13">
        <v>55.2</v>
      </c>
      <c r="F555" s="14">
        <v>0.92412000000000005</v>
      </c>
      <c r="G555" s="10">
        <f t="shared" si="34"/>
        <v>-2.1000000000005537E-3</v>
      </c>
      <c r="H555" s="11">
        <f t="shared" si="35"/>
        <v>1.0400400000000307</v>
      </c>
    </row>
    <row r="556" spans="1:8" ht="13.8" thickBot="1">
      <c r="A556" s="13">
        <v>55.3</v>
      </c>
      <c r="B556" s="14">
        <v>0.92308000000000001</v>
      </c>
      <c r="C556" s="10">
        <f t="shared" si="32"/>
        <v>-2.1000000000004045E-3</v>
      </c>
      <c r="D556" s="11">
        <f t="shared" si="33"/>
        <v>1.0392100000000224</v>
      </c>
      <c r="E556" s="13">
        <v>55.3</v>
      </c>
      <c r="F556" s="14">
        <v>0.92391000000000001</v>
      </c>
      <c r="G556" s="10">
        <f t="shared" si="34"/>
        <v>-2.1000000000004045E-3</v>
      </c>
      <c r="H556" s="11">
        <f t="shared" si="35"/>
        <v>1.0400400000000223</v>
      </c>
    </row>
    <row r="557" spans="1:8" ht="13.8" thickBot="1">
      <c r="A557" s="13">
        <v>55.4</v>
      </c>
      <c r="B557" s="14">
        <v>0.92286999999999997</v>
      </c>
      <c r="C557" s="10">
        <f t="shared" si="32"/>
        <v>-2.0999999999992947E-3</v>
      </c>
      <c r="D557" s="11">
        <f t="shared" si="33"/>
        <v>1.0392099999999609</v>
      </c>
      <c r="E557" s="13">
        <v>55.4</v>
      </c>
      <c r="F557" s="14">
        <v>0.92369999999999997</v>
      </c>
      <c r="G557" s="10">
        <f t="shared" si="34"/>
        <v>-2.0999999999992947E-3</v>
      </c>
      <c r="H557" s="11">
        <f t="shared" si="35"/>
        <v>1.0400399999999608</v>
      </c>
    </row>
    <row r="558" spans="1:8" ht="13.8" thickBot="1">
      <c r="A558" s="13">
        <v>55.5</v>
      </c>
      <c r="B558" s="14">
        <v>0.92266000000000004</v>
      </c>
      <c r="C558" s="10">
        <f t="shared" si="32"/>
        <v>-2.1000000000004045E-3</v>
      </c>
      <c r="D558" s="11">
        <f t="shared" si="33"/>
        <v>1.0392100000000224</v>
      </c>
      <c r="E558" s="13">
        <v>55.5</v>
      </c>
      <c r="F558" s="14">
        <v>0.92349000000000003</v>
      </c>
      <c r="G558" s="10">
        <f t="shared" si="34"/>
        <v>-2.1000000000004045E-3</v>
      </c>
      <c r="H558" s="11">
        <f t="shared" si="35"/>
        <v>1.0400400000000225</v>
      </c>
    </row>
    <row r="559" spans="1:8" ht="13.8" thickBot="1">
      <c r="A559" s="13">
        <v>55.6</v>
      </c>
      <c r="B559" s="14">
        <v>0.92244999999999999</v>
      </c>
      <c r="C559" s="10">
        <f t="shared" si="32"/>
        <v>-2.1000000000004045E-3</v>
      </c>
      <c r="D559" s="11">
        <f t="shared" si="33"/>
        <v>1.0392100000000224</v>
      </c>
      <c r="E559" s="13">
        <v>55.6</v>
      </c>
      <c r="F559" s="14">
        <v>0.92327999999999999</v>
      </c>
      <c r="G559" s="10">
        <f t="shared" si="34"/>
        <v>-2.1000000000004045E-3</v>
      </c>
      <c r="H559" s="11">
        <f t="shared" si="35"/>
        <v>1.0400400000000225</v>
      </c>
    </row>
    <row r="560" spans="1:8" ht="13.8" thickBot="1">
      <c r="A560" s="13">
        <v>55.7</v>
      </c>
      <c r="B560" s="14">
        <v>0.92223999999999995</v>
      </c>
      <c r="C560" s="10">
        <f t="shared" si="32"/>
        <v>-2.0999999999994439E-3</v>
      </c>
      <c r="D560" s="11">
        <f t="shared" si="33"/>
        <v>1.0392099999999689</v>
      </c>
      <c r="E560" s="13">
        <v>55.7</v>
      </c>
      <c r="F560" s="14">
        <v>0.92306999999999995</v>
      </c>
      <c r="G560" s="10">
        <f t="shared" si="34"/>
        <v>-2.0999999999994439E-3</v>
      </c>
      <c r="H560" s="11">
        <f t="shared" si="35"/>
        <v>1.040039999999969</v>
      </c>
    </row>
    <row r="561" spans="1:8" ht="13.8" thickBot="1">
      <c r="A561" s="13">
        <v>55.8</v>
      </c>
      <c r="B561" s="14">
        <v>0.92203000000000002</v>
      </c>
      <c r="C561" s="10">
        <f t="shared" si="32"/>
        <v>-2.1000000000004045E-3</v>
      </c>
      <c r="D561" s="11">
        <f t="shared" si="33"/>
        <v>1.0392100000000226</v>
      </c>
      <c r="E561" s="13">
        <v>55.8</v>
      </c>
      <c r="F561" s="14">
        <v>0.92286000000000001</v>
      </c>
      <c r="G561" s="10">
        <f t="shared" si="34"/>
        <v>-2.1000000000004045E-3</v>
      </c>
      <c r="H561" s="11">
        <f t="shared" si="35"/>
        <v>1.0400400000000225</v>
      </c>
    </row>
    <row r="562" spans="1:8" ht="13.8" thickBot="1">
      <c r="A562" s="13">
        <v>55.9</v>
      </c>
      <c r="B562" s="14">
        <v>0.92181999999999997</v>
      </c>
      <c r="C562" s="10">
        <f t="shared" si="32"/>
        <v>-2.0999999999992947E-3</v>
      </c>
      <c r="D562" s="11">
        <f t="shared" si="33"/>
        <v>1.0392099999999607</v>
      </c>
      <c r="E562" s="13">
        <v>55.9</v>
      </c>
      <c r="F562" s="14">
        <v>0.92264999999999997</v>
      </c>
      <c r="G562" s="10">
        <f t="shared" si="34"/>
        <v>-2.0999999999992947E-3</v>
      </c>
      <c r="H562" s="11">
        <f t="shared" si="35"/>
        <v>1.0400399999999606</v>
      </c>
    </row>
    <row r="563" spans="1:8" ht="13.8" thickBot="1">
      <c r="A563" s="8">
        <v>56</v>
      </c>
      <c r="B563" s="17">
        <v>0.92161000000000004</v>
      </c>
      <c r="C563" s="10">
        <f t="shared" si="32"/>
        <v>-2.1000000000004045E-3</v>
      </c>
      <c r="D563" s="11">
        <f t="shared" si="33"/>
        <v>1.0392100000000226</v>
      </c>
      <c r="E563" s="8">
        <v>56</v>
      </c>
      <c r="F563" s="17">
        <v>0.92244000000000004</v>
      </c>
      <c r="G563" s="10">
        <f t="shared" si="34"/>
        <v>-2.1000000000004045E-3</v>
      </c>
      <c r="H563" s="11">
        <f t="shared" si="35"/>
        <v>1.0400400000000227</v>
      </c>
    </row>
    <row r="564" spans="1:8" ht="13.8" thickBot="1">
      <c r="A564" s="13">
        <v>56.1</v>
      </c>
      <c r="B564" s="14">
        <v>0.9214</v>
      </c>
      <c r="C564" s="10">
        <f t="shared" si="32"/>
        <v>-2.1000000000004045E-3</v>
      </c>
      <c r="D564" s="11">
        <f t="shared" si="33"/>
        <v>1.0392100000000226</v>
      </c>
      <c r="E564" s="13">
        <v>56.1</v>
      </c>
      <c r="F564" s="14">
        <v>0.92222999999999999</v>
      </c>
      <c r="G564" s="10">
        <f t="shared" si="34"/>
        <v>-2.1000000000004045E-3</v>
      </c>
      <c r="H564" s="11">
        <f t="shared" si="35"/>
        <v>1.0400400000000227</v>
      </c>
    </row>
    <row r="565" spans="1:8" ht="13.8" thickBot="1">
      <c r="A565" s="13">
        <v>56.2</v>
      </c>
      <c r="B565" s="14">
        <v>0.92118999999999995</v>
      </c>
      <c r="C565" s="10">
        <f t="shared" si="32"/>
        <v>-2.2000000000001046E-3</v>
      </c>
      <c r="D565" s="11">
        <f t="shared" si="33"/>
        <v>1.0448300000000057</v>
      </c>
      <c r="E565" s="13">
        <v>56.2</v>
      </c>
      <c r="F565" s="14">
        <v>0.92201999999999995</v>
      </c>
      <c r="G565" s="10">
        <f t="shared" si="34"/>
        <v>-2.2000000000001046E-3</v>
      </c>
      <c r="H565" s="11">
        <f t="shared" si="35"/>
        <v>1.0456600000000058</v>
      </c>
    </row>
    <row r="566" spans="1:8" ht="13.8" thickBot="1">
      <c r="A566" s="13">
        <v>56.3</v>
      </c>
      <c r="B566" s="14">
        <v>0.92096999999999996</v>
      </c>
      <c r="C566" s="10">
        <f t="shared" si="32"/>
        <v>-2.0999999999992947E-3</v>
      </c>
      <c r="D566" s="11">
        <f t="shared" si="33"/>
        <v>1.0391999999999604</v>
      </c>
      <c r="E566" s="13">
        <v>56.3</v>
      </c>
      <c r="F566" s="14">
        <v>0.92179999999999995</v>
      </c>
      <c r="G566" s="10">
        <f t="shared" si="34"/>
        <v>-2.0999999999992947E-3</v>
      </c>
      <c r="H566" s="11">
        <f t="shared" si="35"/>
        <v>1.0400299999999603</v>
      </c>
    </row>
    <row r="567" spans="1:8" ht="13.8" thickBot="1">
      <c r="A567" s="13">
        <v>56.4</v>
      </c>
      <c r="B567" s="14">
        <v>0.92076000000000002</v>
      </c>
      <c r="C567" s="10">
        <f t="shared" si="32"/>
        <v>-2.1000000000004045E-3</v>
      </c>
      <c r="D567" s="11">
        <f t="shared" si="33"/>
        <v>1.0392000000000228</v>
      </c>
      <c r="E567" s="13">
        <v>56.4</v>
      </c>
      <c r="F567" s="14">
        <v>0.92159000000000002</v>
      </c>
      <c r="G567" s="10">
        <f t="shared" si="34"/>
        <v>-2.1000000000004045E-3</v>
      </c>
      <c r="H567" s="11">
        <f t="shared" si="35"/>
        <v>1.0400300000000229</v>
      </c>
    </row>
    <row r="568" spans="1:8" ht="13.8" thickBot="1">
      <c r="A568" s="13">
        <v>56.5</v>
      </c>
      <c r="B568" s="14">
        <v>0.92054999999999998</v>
      </c>
      <c r="C568" s="10">
        <f t="shared" si="32"/>
        <v>-2.0999999999992947E-3</v>
      </c>
      <c r="D568" s="11">
        <f t="shared" si="33"/>
        <v>1.0391999999999602</v>
      </c>
      <c r="E568" s="13">
        <v>56.5</v>
      </c>
      <c r="F568" s="14">
        <v>0.92137999999999998</v>
      </c>
      <c r="G568" s="10">
        <f t="shared" si="34"/>
        <v>-2.0999999999992947E-3</v>
      </c>
      <c r="H568" s="11">
        <f t="shared" si="35"/>
        <v>1.0400299999999603</v>
      </c>
    </row>
    <row r="569" spans="1:8" ht="13.8" thickBot="1">
      <c r="A569" s="13">
        <v>56.6</v>
      </c>
      <c r="B569" s="14">
        <v>0.92034000000000005</v>
      </c>
      <c r="C569" s="10">
        <f t="shared" si="32"/>
        <v>-2.1000000000004045E-3</v>
      </c>
      <c r="D569" s="11">
        <f t="shared" si="33"/>
        <v>1.039200000000023</v>
      </c>
      <c r="E569" s="13">
        <v>56.6</v>
      </c>
      <c r="F569" s="14">
        <v>0.92117000000000004</v>
      </c>
      <c r="G569" s="10">
        <f t="shared" si="34"/>
        <v>-2.1000000000004045E-3</v>
      </c>
      <c r="H569" s="11">
        <f t="shared" si="35"/>
        <v>1.0400300000000229</v>
      </c>
    </row>
    <row r="570" spans="1:8" ht="13.8" thickBot="1">
      <c r="A570" s="13">
        <v>56.7</v>
      </c>
      <c r="B570" s="14">
        <v>0.92013</v>
      </c>
      <c r="C570" s="10">
        <f t="shared" si="32"/>
        <v>-2.2000000000001046E-3</v>
      </c>
      <c r="D570" s="11">
        <f t="shared" si="33"/>
        <v>1.044870000000006</v>
      </c>
      <c r="E570" s="13">
        <v>56.7</v>
      </c>
      <c r="F570" s="14">
        <v>0.92096</v>
      </c>
      <c r="G570" s="10">
        <f t="shared" si="34"/>
        <v>-2.2000000000001046E-3</v>
      </c>
      <c r="H570" s="11">
        <f t="shared" si="35"/>
        <v>1.0457000000000058</v>
      </c>
    </row>
    <row r="571" spans="1:8" ht="13.8" thickBot="1">
      <c r="A571" s="13">
        <v>56.8</v>
      </c>
      <c r="B571" s="14">
        <v>0.91991000000000001</v>
      </c>
      <c r="C571" s="10">
        <f t="shared" si="32"/>
        <v>-2.1000000000004045E-3</v>
      </c>
      <c r="D571" s="11">
        <f t="shared" si="33"/>
        <v>1.0391900000000229</v>
      </c>
      <c r="E571" s="13">
        <v>56.8</v>
      </c>
      <c r="F571" s="14">
        <v>0.92074</v>
      </c>
      <c r="G571" s="10">
        <f t="shared" si="34"/>
        <v>-2.1000000000004045E-3</v>
      </c>
      <c r="H571" s="11">
        <f t="shared" si="35"/>
        <v>1.040020000000023</v>
      </c>
    </row>
    <row r="572" spans="1:8" ht="13.8" thickBot="1">
      <c r="A572" s="13">
        <v>56.9</v>
      </c>
      <c r="B572" s="14">
        <v>0.91969999999999996</v>
      </c>
      <c r="C572" s="10">
        <f t="shared" si="32"/>
        <v>-2.0999999999992947E-3</v>
      </c>
      <c r="D572" s="11">
        <f t="shared" si="33"/>
        <v>1.0391899999999599</v>
      </c>
      <c r="E572" s="13">
        <v>56.9</v>
      </c>
      <c r="F572" s="14">
        <v>0.92052999999999996</v>
      </c>
      <c r="G572" s="10">
        <f t="shared" si="34"/>
        <v>-2.0999999999992947E-3</v>
      </c>
      <c r="H572" s="11">
        <f t="shared" si="35"/>
        <v>1.04001999999996</v>
      </c>
    </row>
    <row r="573" spans="1:8" ht="13.8" thickBot="1">
      <c r="A573" s="8">
        <v>57</v>
      </c>
      <c r="B573" s="17">
        <v>0.91949000000000003</v>
      </c>
      <c r="C573" s="10">
        <f t="shared" si="32"/>
        <v>-2.1999999999999485E-3</v>
      </c>
      <c r="D573" s="11">
        <f t="shared" si="33"/>
        <v>1.0448899999999972</v>
      </c>
      <c r="E573" s="8">
        <v>57</v>
      </c>
      <c r="F573" s="17">
        <v>0.92032000000000003</v>
      </c>
      <c r="G573" s="10">
        <f t="shared" si="34"/>
        <v>-2.1999999999999481E-3</v>
      </c>
      <c r="H573" s="11">
        <f t="shared" si="35"/>
        <v>1.0457199999999971</v>
      </c>
    </row>
    <row r="574" spans="1:8" ht="13.8" thickBot="1">
      <c r="A574" s="13">
        <v>57.1</v>
      </c>
      <c r="B574" s="14">
        <v>0.91927000000000003</v>
      </c>
      <c r="C574" s="10">
        <f t="shared" si="32"/>
        <v>-2.1000000000004045E-3</v>
      </c>
      <c r="D574" s="11">
        <f t="shared" si="33"/>
        <v>1.0391800000000231</v>
      </c>
      <c r="E574" s="13">
        <v>57.1</v>
      </c>
      <c r="F574" s="14">
        <v>0.92010000000000003</v>
      </c>
      <c r="G574" s="10">
        <f t="shared" si="34"/>
        <v>-2.1000000000004045E-3</v>
      </c>
      <c r="H574" s="11">
        <f t="shared" si="35"/>
        <v>1.0400100000000232</v>
      </c>
    </row>
    <row r="575" spans="1:8" ht="13.8" thickBot="1">
      <c r="A575" s="13">
        <v>57.2</v>
      </c>
      <c r="B575" s="14">
        <v>0.91905999999999999</v>
      </c>
      <c r="C575" s="10">
        <f t="shared" si="32"/>
        <v>-2.2000000000001046E-3</v>
      </c>
      <c r="D575" s="11">
        <f t="shared" si="33"/>
        <v>1.0449000000000059</v>
      </c>
      <c r="E575" s="13">
        <v>57.2</v>
      </c>
      <c r="F575" s="14">
        <v>0.91988999999999999</v>
      </c>
      <c r="G575" s="10">
        <f t="shared" si="34"/>
        <v>-2.2000000000001046E-3</v>
      </c>
      <c r="H575" s="11">
        <f t="shared" si="35"/>
        <v>1.045730000000006</v>
      </c>
    </row>
    <row r="576" spans="1:8" ht="13.8" thickBot="1">
      <c r="A576" s="13">
        <v>57.3</v>
      </c>
      <c r="B576" s="14">
        <v>0.91883999999999999</v>
      </c>
      <c r="C576" s="10">
        <f t="shared" si="32"/>
        <v>-2.1000000000004045E-3</v>
      </c>
      <c r="D576" s="11">
        <f t="shared" si="33"/>
        <v>1.0391700000000232</v>
      </c>
      <c r="E576" s="13">
        <v>57.3</v>
      </c>
      <c r="F576" s="14">
        <v>0.91966999999999999</v>
      </c>
      <c r="G576" s="10">
        <f t="shared" si="34"/>
        <v>-2.0999999999992947E-3</v>
      </c>
      <c r="H576" s="11">
        <f t="shared" si="35"/>
        <v>1.0399999999999594</v>
      </c>
    </row>
    <row r="577" spans="1:8" ht="13.8" thickBot="1">
      <c r="A577" s="13">
        <v>57.4</v>
      </c>
      <c r="B577" s="14">
        <v>0.91862999999999995</v>
      </c>
      <c r="C577" s="10">
        <f t="shared" si="32"/>
        <v>-2.1999999999999481E-3</v>
      </c>
      <c r="D577" s="11">
        <f t="shared" si="33"/>
        <v>1.0449099999999971</v>
      </c>
      <c r="E577" s="13">
        <v>57.4</v>
      </c>
      <c r="F577" s="14">
        <v>0.91946000000000006</v>
      </c>
      <c r="G577" s="10">
        <f t="shared" si="34"/>
        <v>-2.2000000000010587E-3</v>
      </c>
      <c r="H577" s="11">
        <f t="shared" si="35"/>
        <v>1.0457400000000607</v>
      </c>
    </row>
    <row r="578" spans="1:8" ht="13.8" thickBot="1">
      <c r="A578" s="13">
        <v>57.5</v>
      </c>
      <c r="B578" s="14">
        <v>0.91840999999999995</v>
      </c>
      <c r="C578" s="10">
        <f t="shared" si="32"/>
        <v>-2.0999999999992947E-3</v>
      </c>
      <c r="D578" s="11">
        <f t="shared" si="33"/>
        <v>1.0391599999999592</v>
      </c>
      <c r="E578" s="13">
        <v>57.5</v>
      </c>
      <c r="F578" s="14">
        <v>0.91923999999999995</v>
      </c>
      <c r="G578" s="10">
        <f t="shared" si="34"/>
        <v>-2.0999999999992947E-3</v>
      </c>
      <c r="H578" s="11">
        <f t="shared" si="35"/>
        <v>1.0399899999999593</v>
      </c>
    </row>
    <row r="579" spans="1:8" ht="13.8" thickBot="1">
      <c r="A579" s="13">
        <v>57.6</v>
      </c>
      <c r="B579" s="14">
        <v>0.91820000000000002</v>
      </c>
      <c r="C579" s="10">
        <f t="shared" si="32"/>
        <v>-2.1999999999999481E-3</v>
      </c>
      <c r="D579" s="11">
        <f t="shared" si="33"/>
        <v>1.0449199999999972</v>
      </c>
      <c r="E579" s="13">
        <v>57.6</v>
      </c>
      <c r="F579" s="14">
        <v>0.91903000000000001</v>
      </c>
      <c r="G579" s="10">
        <f t="shared" si="34"/>
        <v>-2.1999999999999485E-3</v>
      </c>
      <c r="H579" s="11">
        <f t="shared" si="35"/>
        <v>1.0457499999999971</v>
      </c>
    </row>
    <row r="580" spans="1:8" ht="13.8" thickBot="1">
      <c r="A580" s="13">
        <v>57.7</v>
      </c>
      <c r="B580" s="14">
        <v>0.91798000000000002</v>
      </c>
      <c r="C580" s="10">
        <f t="shared" ref="C580:C643" si="36">SLOPE(B580:B581,A580:A581)</f>
        <v>-2.1000000000005537E-3</v>
      </c>
      <c r="D580" s="11">
        <f t="shared" ref="D580:D643" si="37">INTERCEPT(B580:B581,A580:A581)</f>
        <v>1.039150000000032</v>
      </c>
      <c r="E580" s="13">
        <v>57.7</v>
      </c>
      <c r="F580" s="14">
        <v>0.91881000000000002</v>
      </c>
      <c r="G580" s="10">
        <f t="shared" ref="G580:G643" si="38">SLOPE(F580:F581,E580:E581)</f>
        <v>-2.1000000000005537E-3</v>
      </c>
      <c r="H580" s="11">
        <f t="shared" ref="H580:H643" si="39">INTERCEPT(F580:F581,E580:E581)</f>
        <v>1.0399800000000319</v>
      </c>
    </row>
    <row r="581" spans="1:8" ht="13.8" thickBot="1">
      <c r="A581" s="13">
        <v>57.8</v>
      </c>
      <c r="B581" s="14">
        <v>0.91776999999999997</v>
      </c>
      <c r="C581" s="10">
        <f t="shared" si="36"/>
        <v>-2.1999999999999481E-3</v>
      </c>
      <c r="D581" s="11">
        <f t="shared" si="37"/>
        <v>1.0449299999999968</v>
      </c>
      <c r="E581" s="13">
        <v>57.8</v>
      </c>
      <c r="F581" s="14">
        <v>0.91859999999999997</v>
      </c>
      <c r="G581" s="10">
        <f t="shared" si="38"/>
        <v>-2.1999999999999485E-3</v>
      </c>
      <c r="H581" s="11">
        <f t="shared" si="39"/>
        <v>1.0457599999999969</v>
      </c>
    </row>
    <row r="582" spans="1:8" ht="13.8" thickBot="1">
      <c r="A582" s="13">
        <v>57.9</v>
      </c>
      <c r="B582" s="14">
        <v>0.91754999999999998</v>
      </c>
      <c r="C582" s="10">
        <f t="shared" si="36"/>
        <v>-2.1999999999999481E-3</v>
      </c>
      <c r="D582" s="11">
        <f t="shared" si="37"/>
        <v>1.044929999999997</v>
      </c>
      <c r="E582" s="13">
        <v>57.9</v>
      </c>
      <c r="F582" s="14">
        <v>0.91837999999999997</v>
      </c>
      <c r="G582" s="10">
        <f t="shared" si="38"/>
        <v>-2.1999999999999485E-3</v>
      </c>
      <c r="H582" s="11">
        <f t="shared" si="39"/>
        <v>1.0457599999999969</v>
      </c>
    </row>
    <row r="583" spans="1:8" ht="13.8" thickBot="1">
      <c r="A583" s="8">
        <v>58</v>
      </c>
      <c r="B583" s="17">
        <v>0.91732999999999998</v>
      </c>
      <c r="C583" s="10">
        <f t="shared" si="36"/>
        <v>-2.0999999999992947E-3</v>
      </c>
      <c r="D583" s="11">
        <f t="shared" si="37"/>
        <v>1.039129999999959</v>
      </c>
      <c r="E583" s="8">
        <v>58</v>
      </c>
      <c r="F583" s="17">
        <v>0.91815999999999998</v>
      </c>
      <c r="G583" s="10">
        <f t="shared" si="38"/>
        <v>-2.0999999999992947E-3</v>
      </c>
      <c r="H583" s="11">
        <f t="shared" si="39"/>
        <v>1.0399599999999591</v>
      </c>
    </row>
    <row r="584" spans="1:8" ht="13.8" thickBot="1">
      <c r="A584" s="13">
        <v>58.1</v>
      </c>
      <c r="B584" s="14">
        <v>0.91712000000000005</v>
      </c>
      <c r="C584" s="10">
        <f t="shared" si="36"/>
        <v>-2.1999999999999481E-3</v>
      </c>
      <c r="D584" s="11">
        <f t="shared" si="37"/>
        <v>1.0449399999999971</v>
      </c>
      <c r="E584" s="13">
        <v>58.1</v>
      </c>
      <c r="F584" s="14">
        <v>0.91795000000000004</v>
      </c>
      <c r="G584" s="10">
        <f t="shared" si="38"/>
        <v>-2.1999999999999485E-3</v>
      </c>
      <c r="H584" s="11">
        <f t="shared" si="39"/>
        <v>1.045769999999997</v>
      </c>
    </row>
    <row r="585" spans="1:8" ht="13.8" thickBot="1">
      <c r="A585" s="13">
        <v>58.2</v>
      </c>
      <c r="B585" s="14">
        <v>0.91690000000000005</v>
      </c>
      <c r="C585" s="10">
        <f t="shared" si="36"/>
        <v>-2.2000000000001046E-3</v>
      </c>
      <c r="D585" s="11">
        <f t="shared" si="37"/>
        <v>1.0449400000000062</v>
      </c>
      <c r="E585" s="13">
        <v>58.2</v>
      </c>
      <c r="F585" s="14">
        <v>0.91773000000000005</v>
      </c>
      <c r="G585" s="10">
        <f t="shared" si="38"/>
        <v>-2.2000000000001046E-3</v>
      </c>
      <c r="H585" s="11">
        <f t="shared" si="39"/>
        <v>1.0457700000000063</v>
      </c>
    </row>
    <row r="586" spans="1:8" ht="13.8" thickBot="1">
      <c r="A586" s="13">
        <v>58.3</v>
      </c>
      <c r="B586" s="14">
        <v>0.91668000000000005</v>
      </c>
      <c r="C586" s="10">
        <f t="shared" si="36"/>
        <v>-2.1000000000004045E-3</v>
      </c>
      <c r="D586" s="11">
        <f t="shared" si="37"/>
        <v>1.0391100000000235</v>
      </c>
      <c r="E586" s="13">
        <v>58.3</v>
      </c>
      <c r="F586" s="14">
        <v>0.91751000000000005</v>
      </c>
      <c r="G586" s="10">
        <f t="shared" si="38"/>
        <v>-2.1000000000004045E-3</v>
      </c>
      <c r="H586" s="11">
        <f t="shared" si="39"/>
        <v>1.0399400000000236</v>
      </c>
    </row>
    <row r="587" spans="1:8" ht="13.8" thickBot="1">
      <c r="A587" s="13">
        <v>58.4</v>
      </c>
      <c r="B587" s="14">
        <v>0.91647000000000001</v>
      </c>
      <c r="C587" s="10">
        <f t="shared" si="36"/>
        <v>-2.1999999999999481E-3</v>
      </c>
      <c r="D587" s="11">
        <f t="shared" si="37"/>
        <v>1.0449499999999969</v>
      </c>
      <c r="E587" s="13">
        <v>58.4</v>
      </c>
      <c r="F587" s="14">
        <v>0.9173</v>
      </c>
      <c r="G587" s="10">
        <f t="shared" si="38"/>
        <v>-2.1999999999999485E-3</v>
      </c>
      <c r="H587" s="11">
        <f t="shared" si="39"/>
        <v>1.045779999999997</v>
      </c>
    </row>
    <row r="588" spans="1:8" ht="13.8" thickBot="1">
      <c r="A588" s="13">
        <v>58.5</v>
      </c>
      <c r="B588" s="14">
        <v>0.91625000000000001</v>
      </c>
      <c r="C588" s="10">
        <f t="shared" si="36"/>
        <v>-2.1999999999999481E-3</v>
      </c>
      <c r="D588" s="11">
        <f t="shared" si="37"/>
        <v>1.0449499999999969</v>
      </c>
      <c r="E588" s="13">
        <v>58.5</v>
      </c>
      <c r="F588" s="14">
        <v>0.91708000000000001</v>
      </c>
      <c r="G588" s="10">
        <f t="shared" si="38"/>
        <v>-2.1999999999999485E-3</v>
      </c>
      <c r="H588" s="11">
        <f t="shared" si="39"/>
        <v>1.045779999999997</v>
      </c>
    </row>
    <row r="589" spans="1:8" ht="13.8" thickBot="1">
      <c r="A589" s="13">
        <v>58.6</v>
      </c>
      <c r="B589" s="14">
        <v>0.91603000000000001</v>
      </c>
      <c r="C589" s="10">
        <f t="shared" si="36"/>
        <v>-2.1999999999999481E-3</v>
      </c>
      <c r="D589" s="11">
        <f t="shared" si="37"/>
        <v>1.0449499999999969</v>
      </c>
      <c r="E589" s="13">
        <v>58.6</v>
      </c>
      <c r="F589" s="14">
        <v>0.91686000000000001</v>
      </c>
      <c r="G589" s="10">
        <f t="shared" si="38"/>
        <v>-2.3000000000006019E-3</v>
      </c>
      <c r="H589" s="11">
        <f t="shared" si="39"/>
        <v>1.0516400000000352</v>
      </c>
    </row>
    <row r="590" spans="1:8" ht="13.8" thickBot="1">
      <c r="A590" s="13">
        <v>58.7</v>
      </c>
      <c r="B590" s="14">
        <v>0.91581000000000001</v>
      </c>
      <c r="C590" s="10">
        <f t="shared" si="36"/>
        <v>-2.1000000000005537E-3</v>
      </c>
      <c r="D590" s="11">
        <f t="shared" si="37"/>
        <v>1.0390800000000324</v>
      </c>
      <c r="E590" s="13">
        <v>58.7</v>
      </c>
      <c r="F590" s="14">
        <v>0.91662999999999994</v>
      </c>
      <c r="G590" s="10">
        <f t="shared" si="38"/>
        <v>-2.0999999999994439E-3</v>
      </c>
      <c r="H590" s="11">
        <f t="shared" si="39"/>
        <v>1.0398999999999674</v>
      </c>
    </row>
    <row r="591" spans="1:8" ht="13.8" thickBot="1">
      <c r="A591" s="13">
        <v>58.8</v>
      </c>
      <c r="B591" s="14">
        <v>0.91559999999999997</v>
      </c>
      <c r="C591" s="10">
        <f t="shared" si="36"/>
        <v>-2.1999999999999481E-3</v>
      </c>
      <c r="D591" s="11">
        <f t="shared" si="37"/>
        <v>1.0449599999999968</v>
      </c>
      <c r="E591" s="13">
        <v>58.8</v>
      </c>
      <c r="F591" s="14">
        <v>0.91642000000000001</v>
      </c>
      <c r="G591" s="10">
        <f t="shared" si="38"/>
        <v>-2.1999999999999481E-3</v>
      </c>
      <c r="H591" s="11">
        <f t="shared" si="39"/>
        <v>1.0457799999999968</v>
      </c>
    </row>
    <row r="592" spans="1:8" ht="13.8" thickBot="1">
      <c r="A592" s="13">
        <v>58.9</v>
      </c>
      <c r="B592" s="14">
        <v>0.91537999999999997</v>
      </c>
      <c r="C592" s="10">
        <f t="shared" si="36"/>
        <v>-2.1999999999999481E-3</v>
      </c>
      <c r="D592" s="11">
        <f t="shared" si="37"/>
        <v>1.044959999999997</v>
      </c>
      <c r="E592" s="13">
        <v>58.9</v>
      </c>
      <c r="F592" s="14">
        <v>0.91620000000000001</v>
      </c>
      <c r="G592" s="10">
        <f t="shared" si="38"/>
        <v>-2.1999999999999481E-3</v>
      </c>
      <c r="H592" s="11">
        <f t="shared" si="39"/>
        <v>1.045779999999997</v>
      </c>
    </row>
    <row r="593" spans="1:8" ht="13.8" thickBot="1">
      <c r="A593" s="8">
        <v>59</v>
      </c>
      <c r="B593" s="17">
        <v>0.91515999999999997</v>
      </c>
      <c r="C593" s="10">
        <f t="shared" si="36"/>
        <v>-2.1999999999999481E-3</v>
      </c>
      <c r="D593" s="11">
        <f t="shared" si="37"/>
        <v>1.0449599999999968</v>
      </c>
      <c r="E593" s="8">
        <v>59</v>
      </c>
      <c r="F593" s="17">
        <v>0.91598000000000002</v>
      </c>
      <c r="G593" s="10">
        <f t="shared" si="38"/>
        <v>-2.1999999999999481E-3</v>
      </c>
      <c r="H593" s="11">
        <f t="shared" si="39"/>
        <v>1.0457799999999968</v>
      </c>
    </row>
    <row r="594" spans="1:8" ht="13.8" thickBot="1">
      <c r="A594" s="13">
        <v>59.1</v>
      </c>
      <c r="B594" s="14">
        <v>0.91493999999999998</v>
      </c>
      <c r="C594" s="10">
        <f t="shared" si="36"/>
        <v>-2.1999999999999481E-3</v>
      </c>
      <c r="D594" s="11">
        <f t="shared" si="37"/>
        <v>1.044959999999997</v>
      </c>
      <c r="E594" s="13">
        <v>59.1</v>
      </c>
      <c r="F594" s="14">
        <v>0.91576000000000002</v>
      </c>
      <c r="G594" s="10">
        <f t="shared" si="38"/>
        <v>-2.1999999999999481E-3</v>
      </c>
      <c r="H594" s="11">
        <f t="shared" si="39"/>
        <v>1.045779999999997</v>
      </c>
    </row>
    <row r="595" spans="1:8" ht="13.8" thickBot="1">
      <c r="A595" s="13">
        <v>59.2</v>
      </c>
      <c r="B595" s="14">
        <v>0.91471999999999998</v>
      </c>
      <c r="C595" s="10">
        <f t="shared" si="36"/>
        <v>-2.2000000000001046E-3</v>
      </c>
      <c r="D595" s="11">
        <f t="shared" si="37"/>
        <v>1.0449600000000061</v>
      </c>
      <c r="E595" s="13">
        <v>59.2</v>
      </c>
      <c r="F595" s="14">
        <v>0.91554000000000002</v>
      </c>
      <c r="G595" s="10">
        <f t="shared" si="38"/>
        <v>-2.2000000000001046E-3</v>
      </c>
      <c r="H595" s="11">
        <f t="shared" si="39"/>
        <v>1.0457800000000061</v>
      </c>
    </row>
    <row r="596" spans="1:8" ht="13.8" thickBot="1">
      <c r="A596" s="13">
        <v>59.3</v>
      </c>
      <c r="B596" s="14">
        <v>0.91449999999999998</v>
      </c>
      <c r="C596" s="10">
        <f t="shared" si="36"/>
        <v>-2.1999999999999485E-3</v>
      </c>
      <c r="D596" s="11">
        <f t="shared" si="37"/>
        <v>1.044959999999997</v>
      </c>
      <c r="E596" s="13">
        <v>59.3</v>
      </c>
      <c r="F596" s="14">
        <v>0.91532000000000002</v>
      </c>
      <c r="G596" s="10">
        <f t="shared" si="38"/>
        <v>-2.1999999999999485E-3</v>
      </c>
      <c r="H596" s="11">
        <f t="shared" si="39"/>
        <v>1.045779999999997</v>
      </c>
    </row>
    <row r="597" spans="1:8" ht="13.8" thickBot="1">
      <c r="A597" s="13">
        <v>59.4</v>
      </c>
      <c r="B597" s="14">
        <v>0.91427999999999998</v>
      </c>
      <c r="C597" s="10">
        <f t="shared" si="36"/>
        <v>-2.1999999999999485E-3</v>
      </c>
      <c r="D597" s="11">
        <f t="shared" si="37"/>
        <v>1.0449599999999968</v>
      </c>
      <c r="E597" s="13">
        <v>59.4</v>
      </c>
      <c r="F597" s="14">
        <v>0.91510000000000002</v>
      </c>
      <c r="G597" s="10">
        <f t="shared" si="38"/>
        <v>-2.1999999999999485E-3</v>
      </c>
      <c r="H597" s="11">
        <f t="shared" si="39"/>
        <v>1.0457799999999968</v>
      </c>
    </row>
    <row r="598" spans="1:8" ht="13.8" thickBot="1">
      <c r="A598" s="13">
        <v>59.5</v>
      </c>
      <c r="B598" s="14">
        <v>0.91405999999999998</v>
      </c>
      <c r="C598" s="10">
        <f t="shared" si="36"/>
        <v>-2.1999999999999485E-3</v>
      </c>
      <c r="D598" s="11">
        <f t="shared" si="37"/>
        <v>1.044959999999997</v>
      </c>
      <c r="E598" s="13">
        <v>59.5</v>
      </c>
      <c r="F598" s="14">
        <v>0.91488000000000003</v>
      </c>
      <c r="G598" s="10">
        <f t="shared" si="38"/>
        <v>-2.1999999999999485E-3</v>
      </c>
      <c r="H598" s="11">
        <f t="shared" si="39"/>
        <v>1.045779999999997</v>
      </c>
    </row>
    <row r="599" spans="1:8" ht="13.8" thickBot="1">
      <c r="A599" s="13">
        <v>59.6</v>
      </c>
      <c r="B599" s="14">
        <v>0.91383999999999999</v>
      </c>
      <c r="C599" s="10">
        <f t="shared" si="36"/>
        <v>-2.1999999999999485E-3</v>
      </c>
      <c r="D599" s="11">
        <f t="shared" si="37"/>
        <v>1.0449599999999968</v>
      </c>
      <c r="E599" s="13">
        <v>59.6</v>
      </c>
      <c r="F599" s="14">
        <v>0.91466000000000003</v>
      </c>
      <c r="G599" s="10">
        <f t="shared" si="38"/>
        <v>-2.1999999999999485E-3</v>
      </c>
      <c r="H599" s="11">
        <f t="shared" si="39"/>
        <v>1.0457799999999968</v>
      </c>
    </row>
    <row r="600" spans="1:8" ht="13.8" thickBot="1">
      <c r="A600" s="13">
        <v>59.7</v>
      </c>
      <c r="B600" s="14">
        <v>0.91361999999999999</v>
      </c>
      <c r="C600" s="10">
        <f t="shared" si="36"/>
        <v>-2.2000000000001046E-3</v>
      </c>
      <c r="D600" s="11">
        <f t="shared" si="37"/>
        <v>1.0449600000000063</v>
      </c>
      <c r="E600" s="13">
        <v>59.7</v>
      </c>
      <c r="F600" s="14">
        <v>0.91444000000000003</v>
      </c>
      <c r="G600" s="10">
        <f t="shared" si="38"/>
        <v>-2.2000000000001046E-3</v>
      </c>
      <c r="H600" s="11">
        <f t="shared" si="39"/>
        <v>1.0457800000000064</v>
      </c>
    </row>
    <row r="601" spans="1:8" ht="13.8" thickBot="1">
      <c r="A601" s="13">
        <v>59.8</v>
      </c>
      <c r="B601" s="14">
        <v>0.91339999999999999</v>
      </c>
      <c r="C601" s="10">
        <f t="shared" si="36"/>
        <v>-2.1999999999999481E-3</v>
      </c>
      <c r="D601" s="11">
        <f t="shared" si="37"/>
        <v>1.0449599999999968</v>
      </c>
      <c r="E601" s="13">
        <v>59.8</v>
      </c>
      <c r="F601" s="14">
        <v>0.91422000000000003</v>
      </c>
      <c r="G601" s="10">
        <f t="shared" si="38"/>
        <v>-2.1999999999999481E-3</v>
      </c>
      <c r="H601" s="11">
        <f t="shared" si="39"/>
        <v>1.0457799999999968</v>
      </c>
    </row>
    <row r="602" spans="1:8" ht="13.8" thickBot="1">
      <c r="A602" s="13">
        <v>59.9</v>
      </c>
      <c r="B602" s="14">
        <v>0.91317999999999999</v>
      </c>
      <c r="C602" s="10">
        <f t="shared" si="36"/>
        <v>-2.1999999999999481E-3</v>
      </c>
      <c r="D602" s="11">
        <f t="shared" si="37"/>
        <v>1.044959999999997</v>
      </c>
      <c r="E602" s="13">
        <v>59.9</v>
      </c>
      <c r="F602" s="14">
        <v>0.91400000000000003</v>
      </c>
      <c r="G602" s="10">
        <f t="shared" si="38"/>
        <v>-2.1999999999999481E-3</v>
      </c>
      <c r="H602" s="11">
        <f t="shared" si="39"/>
        <v>1.045779999999997</v>
      </c>
    </row>
    <row r="603" spans="1:8" ht="13.8" thickBot="1">
      <c r="A603" s="8">
        <v>60</v>
      </c>
      <c r="B603" s="17">
        <v>0.91295999999999999</v>
      </c>
      <c r="C603" s="10">
        <f t="shared" si="36"/>
        <v>-2.2999999999994917E-3</v>
      </c>
      <c r="D603" s="11">
        <f t="shared" si="37"/>
        <v>1.0509599999999695</v>
      </c>
      <c r="E603" s="8">
        <v>60</v>
      </c>
      <c r="F603" s="17">
        <v>0.91378000000000004</v>
      </c>
      <c r="G603" s="10">
        <f t="shared" si="38"/>
        <v>-2.3000000000006023E-3</v>
      </c>
      <c r="H603" s="11">
        <f t="shared" si="39"/>
        <v>1.0517800000000361</v>
      </c>
    </row>
    <row r="604" spans="1:8" ht="13.8" thickBot="1">
      <c r="A604" s="13">
        <v>60.1</v>
      </c>
      <c r="B604" s="14">
        <v>0.91273000000000004</v>
      </c>
      <c r="C604" s="10">
        <f t="shared" si="36"/>
        <v>-2.1999999999999485E-3</v>
      </c>
      <c r="D604" s="11">
        <f t="shared" si="37"/>
        <v>1.0449499999999969</v>
      </c>
      <c r="E604" s="13">
        <v>60.1</v>
      </c>
      <c r="F604" s="14">
        <v>0.91354999999999997</v>
      </c>
      <c r="G604" s="10">
        <f t="shared" si="38"/>
        <v>-2.1999999999999481E-3</v>
      </c>
      <c r="H604" s="11">
        <f t="shared" si="39"/>
        <v>1.045769999999997</v>
      </c>
    </row>
    <row r="605" spans="1:8" ht="13.8" thickBot="1">
      <c r="A605" s="13">
        <v>60.2</v>
      </c>
      <c r="B605" s="14">
        <v>0.91251000000000004</v>
      </c>
      <c r="C605" s="10">
        <f t="shared" si="36"/>
        <v>-2.2000000000001046E-3</v>
      </c>
      <c r="D605" s="11">
        <f t="shared" si="37"/>
        <v>1.0449500000000065</v>
      </c>
      <c r="E605" s="13">
        <v>60.2</v>
      </c>
      <c r="F605" s="14">
        <v>0.91332999999999998</v>
      </c>
      <c r="G605" s="10">
        <f t="shared" si="38"/>
        <v>-2.2000000000001046E-3</v>
      </c>
      <c r="H605" s="11">
        <f t="shared" si="39"/>
        <v>1.0457700000000063</v>
      </c>
    </row>
    <row r="606" spans="1:8" ht="13.8" thickBot="1">
      <c r="A606" s="13">
        <v>60.3</v>
      </c>
      <c r="B606" s="14">
        <v>0.91229000000000005</v>
      </c>
      <c r="C606" s="10">
        <f t="shared" si="36"/>
        <v>-2.1999999999999481E-3</v>
      </c>
      <c r="D606" s="11">
        <f t="shared" si="37"/>
        <v>1.0449499999999969</v>
      </c>
      <c r="E606" s="13">
        <v>60.3</v>
      </c>
      <c r="F606" s="14">
        <v>0.91310999999999998</v>
      </c>
      <c r="G606" s="10">
        <f t="shared" si="38"/>
        <v>-2.1999999999999485E-3</v>
      </c>
      <c r="H606" s="11">
        <f t="shared" si="39"/>
        <v>1.045769999999997</v>
      </c>
    </row>
    <row r="607" spans="1:8" ht="13.8" thickBot="1">
      <c r="A607" s="13">
        <v>60.4</v>
      </c>
      <c r="B607" s="14">
        <v>0.91207000000000005</v>
      </c>
      <c r="C607" s="10">
        <f t="shared" si="36"/>
        <v>-2.1999999999999481E-3</v>
      </c>
      <c r="D607" s="11">
        <f t="shared" si="37"/>
        <v>1.0449499999999969</v>
      </c>
      <c r="E607" s="13">
        <v>60.4</v>
      </c>
      <c r="F607" s="14">
        <v>0.91288999999999998</v>
      </c>
      <c r="G607" s="10">
        <f t="shared" si="38"/>
        <v>-2.1999999999999485E-3</v>
      </c>
      <c r="H607" s="11">
        <f t="shared" si="39"/>
        <v>1.0457699999999968</v>
      </c>
    </row>
    <row r="608" spans="1:8" ht="13.8" thickBot="1">
      <c r="A608" s="13">
        <v>60.5</v>
      </c>
      <c r="B608" s="14">
        <v>0.91185000000000005</v>
      </c>
      <c r="C608" s="10">
        <f t="shared" si="36"/>
        <v>-2.3000000000006023E-3</v>
      </c>
      <c r="D608" s="11">
        <f t="shared" si="37"/>
        <v>1.0510000000000363</v>
      </c>
      <c r="E608" s="13">
        <v>60.5</v>
      </c>
      <c r="F608" s="14">
        <v>0.91266999999999998</v>
      </c>
      <c r="G608" s="10">
        <f t="shared" si="38"/>
        <v>-2.2999999999994917E-3</v>
      </c>
      <c r="H608" s="11">
        <f t="shared" si="39"/>
        <v>1.0518199999999691</v>
      </c>
    </row>
    <row r="609" spans="1:8" ht="13.8" thickBot="1">
      <c r="A609" s="13">
        <v>60.6</v>
      </c>
      <c r="B609" s="14">
        <v>0.91161999999999999</v>
      </c>
      <c r="C609" s="10">
        <f t="shared" si="36"/>
        <v>-2.1999999999999481E-3</v>
      </c>
      <c r="D609" s="11">
        <f t="shared" si="37"/>
        <v>1.0449399999999969</v>
      </c>
      <c r="E609" s="13">
        <v>60.6</v>
      </c>
      <c r="F609" s="14">
        <v>0.91244000000000003</v>
      </c>
      <c r="G609" s="10">
        <f t="shared" si="38"/>
        <v>-2.1999999999999481E-3</v>
      </c>
      <c r="H609" s="11">
        <f t="shared" si="39"/>
        <v>1.0457599999999969</v>
      </c>
    </row>
    <row r="610" spans="1:8" ht="13.8" thickBot="1">
      <c r="A610" s="13">
        <v>60.7</v>
      </c>
      <c r="B610" s="14">
        <v>0.91139999999999999</v>
      </c>
      <c r="C610" s="10">
        <f t="shared" si="36"/>
        <v>-2.2000000000001046E-3</v>
      </c>
      <c r="D610" s="11">
        <f t="shared" si="37"/>
        <v>1.0449400000000062</v>
      </c>
      <c r="E610" s="13">
        <v>60.7</v>
      </c>
      <c r="F610" s="14">
        <v>0.91222000000000003</v>
      </c>
      <c r="G610" s="10">
        <f t="shared" si="38"/>
        <v>-2.2000000000001046E-3</v>
      </c>
      <c r="H610" s="11">
        <f t="shared" si="39"/>
        <v>1.0457600000000062</v>
      </c>
    </row>
    <row r="611" spans="1:8" ht="13.8" thickBot="1">
      <c r="A611" s="13">
        <v>60.8</v>
      </c>
      <c r="B611" s="14">
        <v>0.91117999999999999</v>
      </c>
      <c r="C611" s="10">
        <f t="shared" si="36"/>
        <v>-2.2999999999994917E-3</v>
      </c>
      <c r="D611" s="11">
        <f t="shared" si="37"/>
        <v>1.051019999999969</v>
      </c>
      <c r="E611" s="13">
        <v>60.8</v>
      </c>
      <c r="F611" s="14">
        <v>0.91200000000000003</v>
      </c>
      <c r="G611" s="10">
        <f t="shared" si="38"/>
        <v>-2.3000000000006019E-3</v>
      </c>
      <c r="H611" s="11">
        <f t="shared" si="39"/>
        <v>1.0518400000000367</v>
      </c>
    </row>
    <row r="612" spans="1:8" ht="13.8" thickBot="1">
      <c r="A612" s="15">
        <v>60.9</v>
      </c>
      <c r="B612" s="16">
        <v>0.91095000000000004</v>
      </c>
      <c r="C612" s="10">
        <f t="shared" si="36"/>
        <v>-2.1999999999999481E-3</v>
      </c>
      <c r="D612" s="11">
        <f t="shared" si="37"/>
        <v>1.044929999999997</v>
      </c>
      <c r="E612" s="15">
        <v>60.9</v>
      </c>
      <c r="F612" s="16">
        <v>0.91176999999999997</v>
      </c>
      <c r="G612" s="10">
        <f t="shared" si="38"/>
        <v>-2.1999999999999485E-3</v>
      </c>
      <c r="H612" s="11">
        <f t="shared" si="39"/>
        <v>1.0457499999999968</v>
      </c>
    </row>
    <row r="613" spans="1:8" ht="13.8" thickBot="1">
      <c r="A613" s="15">
        <v>61</v>
      </c>
      <c r="B613" s="16">
        <v>0.91073000000000004</v>
      </c>
      <c r="C613" s="10">
        <f t="shared" si="36"/>
        <v>-2.1999999999999481E-3</v>
      </c>
      <c r="D613" s="11">
        <f t="shared" si="37"/>
        <v>1.0449299999999968</v>
      </c>
      <c r="E613" s="15">
        <v>61</v>
      </c>
      <c r="F613" s="16">
        <v>0.91154999999999997</v>
      </c>
      <c r="G613" s="10">
        <f t="shared" si="38"/>
        <v>-2.1999999999999485E-3</v>
      </c>
      <c r="H613" s="11">
        <f t="shared" si="39"/>
        <v>1.0457499999999968</v>
      </c>
    </row>
    <row r="614" spans="1:8" ht="13.8" thickBot="1">
      <c r="A614" s="13">
        <v>61.1</v>
      </c>
      <c r="B614" s="14">
        <v>0.91051000000000004</v>
      </c>
      <c r="C614" s="10">
        <f t="shared" si="36"/>
        <v>-2.3000000000006023E-3</v>
      </c>
      <c r="D614" s="11">
        <f t="shared" si="37"/>
        <v>1.0510400000000368</v>
      </c>
      <c r="E614" s="13">
        <v>61.1</v>
      </c>
      <c r="F614" s="14">
        <v>0.91132999999999997</v>
      </c>
      <c r="G614" s="10">
        <f t="shared" si="38"/>
        <v>-2.2999999999994917E-3</v>
      </c>
      <c r="H614" s="11">
        <f t="shared" si="39"/>
        <v>1.0518599999999689</v>
      </c>
    </row>
    <row r="615" spans="1:8" ht="13.8" thickBot="1">
      <c r="A615" s="13">
        <v>61.2</v>
      </c>
      <c r="B615" s="14">
        <v>0.91027999999999998</v>
      </c>
      <c r="C615" s="10">
        <f t="shared" si="36"/>
        <v>-2.2000000000001046E-3</v>
      </c>
      <c r="D615" s="11">
        <f t="shared" si="37"/>
        <v>1.0449200000000063</v>
      </c>
      <c r="E615" s="13">
        <v>61.2</v>
      </c>
      <c r="F615" s="14">
        <v>0.91110000000000002</v>
      </c>
      <c r="G615" s="10">
        <f t="shared" si="38"/>
        <v>-2.2000000000001046E-3</v>
      </c>
      <c r="H615" s="11">
        <f t="shared" si="39"/>
        <v>1.0457400000000063</v>
      </c>
    </row>
    <row r="616" spans="1:8" ht="13.8" thickBot="1">
      <c r="A616" s="13">
        <v>61.3</v>
      </c>
      <c r="B616" s="14">
        <v>0.91005999999999998</v>
      </c>
      <c r="C616" s="10">
        <f t="shared" si="36"/>
        <v>-2.2999999999994917E-3</v>
      </c>
      <c r="D616" s="11">
        <f t="shared" si="37"/>
        <v>1.0510499999999687</v>
      </c>
      <c r="E616" s="13">
        <v>61.3</v>
      </c>
      <c r="F616" s="14">
        <v>0.91088000000000002</v>
      </c>
      <c r="G616" s="10">
        <f t="shared" si="38"/>
        <v>-2.3000000000006019E-3</v>
      </c>
      <c r="H616" s="11">
        <f t="shared" si="39"/>
        <v>1.0518700000000369</v>
      </c>
    </row>
    <row r="617" spans="1:8" ht="13.8" thickBot="1">
      <c r="A617" s="13">
        <v>61.4</v>
      </c>
      <c r="B617" s="14">
        <v>0.90983000000000003</v>
      </c>
      <c r="C617" s="10">
        <f t="shared" si="36"/>
        <v>-2.1999999999999481E-3</v>
      </c>
      <c r="D617" s="11">
        <f t="shared" si="37"/>
        <v>1.0449099999999969</v>
      </c>
      <c r="E617" s="13">
        <v>61.4</v>
      </c>
      <c r="F617" s="14">
        <v>0.91064999999999996</v>
      </c>
      <c r="G617" s="10">
        <f t="shared" si="38"/>
        <v>-2.1999999999999485E-3</v>
      </c>
      <c r="H617" s="11">
        <f t="shared" si="39"/>
        <v>1.0457299999999967</v>
      </c>
    </row>
    <row r="618" spans="1:8" ht="13.8" thickBot="1">
      <c r="A618" s="13">
        <v>61.5</v>
      </c>
      <c r="B618" s="14">
        <v>0.90961000000000003</v>
      </c>
      <c r="C618" s="10">
        <f t="shared" si="36"/>
        <v>-2.3000000000006023E-3</v>
      </c>
      <c r="D618" s="11">
        <f t="shared" si="37"/>
        <v>1.051060000000037</v>
      </c>
      <c r="E618" s="13">
        <v>61.5</v>
      </c>
      <c r="F618" s="14">
        <v>0.91042999999999996</v>
      </c>
      <c r="G618" s="10">
        <f t="shared" si="38"/>
        <v>-2.2999999999994917E-3</v>
      </c>
      <c r="H618" s="11">
        <f t="shared" si="39"/>
        <v>1.0518799999999686</v>
      </c>
    </row>
    <row r="619" spans="1:8" ht="13.8" thickBot="1">
      <c r="A619" s="13">
        <v>61.6</v>
      </c>
      <c r="B619" s="14">
        <v>0.90937999999999997</v>
      </c>
      <c r="C619" s="10">
        <f t="shared" si="36"/>
        <v>-2.1999999999999481E-3</v>
      </c>
      <c r="D619" s="11">
        <f t="shared" si="37"/>
        <v>1.0448999999999968</v>
      </c>
      <c r="E619" s="13">
        <v>61.6</v>
      </c>
      <c r="F619" s="14">
        <v>0.91020000000000001</v>
      </c>
      <c r="G619" s="10">
        <f t="shared" si="38"/>
        <v>-2.1999999999999481E-3</v>
      </c>
      <c r="H619" s="11">
        <f t="shared" si="39"/>
        <v>1.0457199999999969</v>
      </c>
    </row>
    <row r="620" spans="1:8" ht="13.8" thickBot="1">
      <c r="A620" s="13">
        <v>61.7</v>
      </c>
      <c r="B620" s="14">
        <v>0.90915999999999997</v>
      </c>
      <c r="C620" s="10">
        <f t="shared" si="36"/>
        <v>-2.2999999999996552E-3</v>
      </c>
      <c r="D620" s="11">
        <f t="shared" si="37"/>
        <v>1.0510699999999786</v>
      </c>
      <c r="E620" s="13">
        <v>61.7</v>
      </c>
      <c r="F620" s="14">
        <v>0.90998000000000001</v>
      </c>
      <c r="G620" s="10">
        <f t="shared" si="38"/>
        <v>-2.3000000000007654E-3</v>
      </c>
      <c r="H620" s="11">
        <f t="shared" si="39"/>
        <v>1.0518900000000473</v>
      </c>
    </row>
    <row r="621" spans="1:8" ht="13.8" thickBot="1">
      <c r="A621" s="13">
        <v>61.8</v>
      </c>
      <c r="B621" s="14">
        <v>0.90893000000000002</v>
      </c>
      <c r="C621" s="10">
        <f t="shared" si="36"/>
        <v>-2.3000000000006023E-3</v>
      </c>
      <c r="D621" s="11">
        <f t="shared" si="37"/>
        <v>1.0510700000000373</v>
      </c>
      <c r="E621" s="13">
        <v>61.8</v>
      </c>
      <c r="F621" s="14">
        <v>0.90974999999999995</v>
      </c>
      <c r="G621" s="10">
        <f t="shared" si="38"/>
        <v>-2.2999999999994917E-3</v>
      </c>
      <c r="H621" s="11">
        <f t="shared" si="39"/>
        <v>1.0518899999999685</v>
      </c>
    </row>
    <row r="622" spans="1:8" ht="13.8" thickBot="1">
      <c r="A622" s="13">
        <v>61.9</v>
      </c>
      <c r="B622" s="14">
        <v>0.90869999999999995</v>
      </c>
      <c r="C622" s="10">
        <f t="shared" si="36"/>
        <v>-2.1999999999999481E-3</v>
      </c>
      <c r="D622" s="11">
        <f t="shared" si="37"/>
        <v>1.0448799999999969</v>
      </c>
      <c r="E622" s="13">
        <v>61.9</v>
      </c>
      <c r="F622" s="14">
        <v>0.90952</v>
      </c>
      <c r="G622" s="10">
        <f t="shared" si="38"/>
        <v>-2.1999999999999481E-3</v>
      </c>
      <c r="H622" s="11">
        <f t="shared" si="39"/>
        <v>1.045699999999997</v>
      </c>
    </row>
    <row r="623" spans="1:8" ht="13.8" thickBot="1">
      <c r="A623" s="8">
        <v>62</v>
      </c>
      <c r="B623" s="17">
        <v>0.90847999999999995</v>
      </c>
      <c r="C623" s="10">
        <f t="shared" si="36"/>
        <v>-2.2999999999994917E-3</v>
      </c>
      <c r="D623" s="11">
        <f t="shared" si="37"/>
        <v>1.0510799999999685</v>
      </c>
      <c r="E623" s="8">
        <v>62</v>
      </c>
      <c r="F623" s="17">
        <v>0.9093</v>
      </c>
      <c r="G623" s="10">
        <f t="shared" si="38"/>
        <v>-2.2999999999994917E-3</v>
      </c>
      <c r="H623" s="11">
        <f t="shared" si="39"/>
        <v>1.0518999999999685</v>
      </c>
    </row>
    <row r="624" spans="1:8" ht="13.8" thickBot="1">
      <c r="A624" s="13">
        <v>62.1</v>
      </c>
      <c r="B624" s="14">
        <v>0.90825</v>
      </c>
      <c r="C624" s="10">
        <f t="shared" si="36"/>
        <v>-2.2999999999994917E-3</v>
      </c>
      <c r="D624" s="11">
        <f t="shared" si="37"/>
        <v>1.0510799999999685</v>
      </c>
      <c r="E624" s="13">
        <v>62.1</v>
      </c>
      <c r="F624" s="14">
        <v>0.90907000000000004</v>
      </c>
      <c r="G624" s="10">
        <f t="shared" si="38"/>
        <v>-2.3000000000006019E-3</v>
      </c>
      <c r="H624" s="11">
        <f t="shared" si="39"/>
        <v>1.0519000000000374</v>
      </c>
    </row>
    <row r="625" spans="1:8" ht="13.8" thickBot="1">
      <c r="A625" s="13">
        <v>62.2</v>
      </c>
      <c r="B625" s="14">
        <v>0.90802000000000005</v>
      </c>
      <c r="C625" s="10">
        <f t="shared" si="36"/>
        <v>-2.2000000000001046E-3</v>
      </c>
      <c r="D625" s="11">
        <f t="shared" si="37"/>
        <v>1.0448600000000066</v>
      </c>
      <c r="E625" s="13">
        <v>62.2</v>
      </c>
      <c r="F625" s="14">
        <v>0.90883999999999998</v>
      </c>
      <c r="G625" s="10">
        <f t="shared" si="38"/>
        <v>-2.2000000000001046E-3</v>
      </c>
      <c r="H625" s="11">
        <f t="shared" si="39"/>
        <v>1.0456800000000066</v>
      </c>
    </row>
    <row r="626" spans="1:8" ht="13.8" thickBot="1">
      <c r="A626" s="13">
        <v>62.3</v>
      </c>
      <c r="B626" s="14">
        <v>0.90780000000000005</v>
      </c>
      <c r="C626" s="10">
        <f t="shared" si="36"/>
        <v>-2.3000000000006019E-3</v>
      </c>
      <c r="D626" s="11">
        <f t="shared" si="37"/>
        <v>1.0510900000000376</v>
      </c>
      <c r="E626" s="13">
        <v>62.3</v>
      </c>
      <c r="F626" s="14">
        <v>0.90861999999999998</v>
      </c>
      <c r="G626" s="10">
        <f t="shared" si="38"/>
        <v>-2.2999999999994917E-3</v>
      </c>
      <c r="H626" s="11">
        <f t="shared" si="39"/>
        <v>1.0519099999999684</v>
      </c>
    </row>
    <row r="627" spans="1:8" ht="13.8" thickBot="1">
      <c r="A627" s="13">
        <v>62.4</v>
      </c>
      <c r="B627" s="14">
        <v>0.90756999999999999</v>
      </c>
      <c r="C627" s="10">
        <f t="shared" si="36"/>
        <v>-2.2999999999994917E-3</v>
      </c>
      <c r="D627" s="11">
        <f t="shared" si="37"/>
        <v>1.0510899999999683</v>
      </c>
      <c r="E627" s="13">
        <v>62.4</v>
      </c>
      <c r="F627" s="14">
        <v>0.90839000000000003</v>
      </c>
      <c r="G627" s="10">
        <f t="shared" si="38"/>
        <v>-2.3000000000006019E-3</v>
      </c>
      <c r="H627" s="11">
        <f t="shared" si="39"/>
        <v>1.0519100000000376</v>
      </c>
    </row>
    <row r="628" spans="1:8" ht="13.8" thickBot="1">
      <c r="A628" s="13">
        <v>62.5</v>
      </c>
      <c r="B628" s="14">
        <v>0.90734000000000004</v>
      </c>
      <c r="C628" s="10">
        <f t="shared" si="36"/>
        <v>-2.1999999999999481E-3</v>
      </c>
      <c r="D628" s="11">
        <f t="shared" si="37"/>
        <v>1.0448399999999967</v>
      </c>
      <c r="E628" s="13">
        <v>62.5</v>
      </c>
      <c r="F628" s="14">
        <v>0.90815999999999997</v>
      </c>
      <c r="G628" s="10">
        <f t="shared" si="38"/>
        <v>-2.1999999999999485E-3</v>
      </c>
      <c r="H628" s="11">
        <f t="shared" si="39"/>
        <v>1.0456599999999967</v>
      </c>
    </row>
    <row r="629" spans="1:8" ht="13.8" thickBot="1">
      <c r="A629" s="13">
        <v>62.6</v>
      </c>
      <c r="B629" s="14">
        <v>0.90712000000000004</v>
      </c>
      <c r="C629" s="10">
        <f t="shared" si="36"/>
        <v>-2.3000000000006023E-3</v>
      </c>
      <c r="D629" s="11">
        <f t="shared" si="37"/>
        <v>1.0511000000000379</v>
      </c>
      <c r="E629" s="13">
        <v>62.6</v>
      </c>
      <c r="F629" s="14">
        <v>0.90793999999999997</v>
      </c>
      <c r="G629" s="10">
        <f t="shared" si="38"/>
        <v>-2.2999999999994917E-3</v>
      </c>
      <c r="H629" s="11">
        <f t="shared" si="39"/>
        <v>1.0519199999999682</v>
      </c>
    </row>
    <row r="630" spans="1:8" ht="13.8" thickBot="1">
      <c r="A630" s="13">
        <v>62.7</v>
      </c>
      <c r="B630" s="14">
        <v>0.90688999999999997</v>
      </c>
      <c r="C630" s="10">
        <f t="shared" si="36"/>
        <v>-2.2999999999996552E-3</v>
      </c>
      <c r="D630" s="11">
        <f t="shared" si="37"/>
        <v>1.0510999999999784</v>
      </c>
      <c r="E630" s="13">
        <v>62.7</v>
      </c>
      <c r="F630" s="14">
        <v>0.90771000000000002</v>
      </c>
      <c r="G630" s="10">
        <f t="shared" si="38"/>
        <v>-2.3000000000007654E-3</v>
      </c>
      <c r="H630" s="11">
        <f t="shared" si="39"/>
        <v>1.0519200000000479</v>
      </c>
    </row>
    <row r="631" spans="1:8" ht="13.8" thickBot="1">
      <c r="A631" s="13">
        <v>62.8</v>
      </c>
      <c r="B631" s="14">
        <v>0.90666000000000002</v>
      </c>
      <c r="C631" s="10">
        <f t="shared" si="36"/>
        <v>-2.3000000000006023E-3</v>
      </c>
      <c r="D631" s="11">
        <f t="shared" si="37"/>
        <v>1.0511000000000377</v>
      </c>
      <c r="E631" s="13">
        <v>62.8</v>
      </c>
      <c r="F631" s="14">
        <v>0.90747999999999995</v>
      </c>
      <c r="G631" s="10">
        <f t="shared" si="38"/>
        <v>-2.2999999999994917E-3</v>
      </c>
      <c r="H631" s="11">
        <f t="shared" si="39"/>
        <v>1.051919999999968</v>
      </c>
    </row>
    <row r="632" spans="1:8" ht="13.8" thickBot="1">
      <c r="A632" s="13">
        <v>62.9</v>
      </c>
      <c r="B632" s="14">
        <v>0.90642999999999996</v>
      </c>
      <c r="C632" s="10">
        <f t="shared" si="36"/>
        <v>-2.2999999999994917E-3</v>
      </c>
      <c r="D632" s="11">
        <f t="shared" si="37"/>
        <v>1.0510999999999679</v>
      </c>
      <c r="E632" s="13">
        <v>62.9</v>
      </c>
      <c r="F632" s="14">
        <v>0.90725</v>
      </c>
      <c r="G632" s="10">
        <f t="shared" si="38"/>
        <v>-2.2999999999994917E-3</v>
      </c>
      <c r="H632" s="11">
        <f t="shared" si="39"/>
        <v>1.051919999999968</v>
      </c>
    </row>
    <row r="633" spans="1:8" ht="13.8" thickBot="1">
      <c r="A633" s="8">
        <v>63</v>
      </c>
      <c r="B633" s="17">
        <v>0.90620000000000001</v>
      </c>
      <c r="C633" s="10">
        <f t="shared" si="36"/>
        <v>-2.2999999999994917E-3</v>
      </c>
      <c r="D633" s="11">
        <f t="shared" si="37"/>
        <v>1.0510999999999679</v>
      </c>
      <c r="E633" s="8">
        <v>63</v>
      </c>
      <c r="F633" s="17">
        <v>0.90702000000000005</v>
      </c>
      <c r="G633" s="10">
        <f t="shared" si="38"/>
        <v>-2.3000000000006019E-3</v>
      </c>
      <c r="H633" s="11">
        <f t="shared" si="39"/>
        <v>1.0519200000000379</v>
      </c>
    </row>
    <row r="634" spans="1:8" ht="13.8" thickBot="1">
      <c r="A634" s="13">
        <v>63.1</v>
      </c>
      <c r="B634" s="14">
        <v>0.90597000000000005</v>
      </c>
      <c r="C634" s="10">
        <f t="shared" si="36"/>
        <v>-2.3000000000006023E-3</v>
      </c>
      <c r="D634" s="11">
        <f t="shared" si="37"/>
        <v>1.0511000000000381</v>
      </c>
      <c r="E634" s="13">
        <v>63.1</v>
      </c>
      <c r="F634" s="14">
        <v>0.90678999999999998</v>
      </c>
      <c r="G634" s="10">
        <f t="shared" si="38"/>
        <v>-2.2999999999994917E-3</v>
      </c>
      <c r="H634" s="11">
        <f t="shared" si="39"/>
        <v>1.051919999999968</v>
      </c>
    </row>
    <row r="635" spans="1:8" ht="13.8" thickBot="1">
      <c r="A635" s="13">
        <v>63.2</v>
      </c>
      <c r="B635" s="14">
        <v>0.90573999999999999</v>
      </c>
      <c r="C635" s="10">
        <f t="shared" si="36"/>
        <v>-2.2999999999996552E-3</v>
      </c>
      <c r="D635" s="11">
        <f t="shared" si="37"/>
        <v>1.0510999999999782</v>
      </c>
      <c r="E635" s="13">
        <v>63.2</v>
      </c>
      <c r="F635" s="14">
        <v>0.90656000000000003</v>
      </c>
      <c r="G635" s="10">
        <f t="shared" si="38"/>
        <v>-2.3000000000007654E-3</v>
      </c>
      <c r="H635" s="11">
        <f t="shared" si="39"/>
        <v>1.0519200000000484</v>
      </c>
    </row>
    <row r="636" spans="1:8" ht="13.8" thickBot="1">
      <c r="A636" s="13">
        <v>63.3</v>
      </c>
      <c r="B636" s="14">
        <v>0.90551000000000004</v>
      </c>
      <c r="C636" s="10">
        <f t="shared" si="36"/>
        <v>-2.3000000000006023E-3</v>
      </c>
      <c r="D636" s="11">
        <f t="shared" si="37"/>
        <v>1.0511000000000381</v>
      </c>
      <c r="E636" s="13">
        <v>63.3</v>
      </c>
      <c r="F636" s="14">
        <v>0.90632999999999997</v>
      </c>
      <c r="G636" s="10">
        <f t="shared" si="38"/>
        <v>-2.2999999999994917E-3</v>
      </c>
      <c r="H636" s="11">
        <f t="shared" si="39"/>
        <v>1.0519199999999678</v>
      </c>
    </row>
    <row r="637" spans="1:8" ht="13.8" thickBot="1">
      <c r="A637" s="13">
        <v>63.4</v>
      </c>
      <c r="B637" s="14">
        <v>0.90527999999999997</v>
      </c>
      <c r="C637" s="10">
        <f t="shared" si="36"/>
        <v>-2.2999999999994917E-3</v>
      </c>
      <c r="D637" s="11">
        <f t="shared" si="37"/>
        <v>1.0510999999999677</v>
      </c>
      <c r="E637" s="13">
        <v>63.4</v>
      </c>
      <c r="F637" s="14">
        <v>0.90610000000000002</v>
      </c>
      <c r="G637" s="10">
        <f t="shared" si="38"/>
        <v>-2.3000000000006023E-3</v>
      </c>
      <c r="H637" s="11">
        <f t="shared" si="39"/>
        <v>1.0519200000000382</v>
      </c>
    </row>
    <row r="638" spans="1:8" ht="13.8" thickBot="1">
      <c r="A638" s="13">
        <v>63.5</v>
      </c>
      <c r="B638" s="14">
        <v>0.90505000000000002</v>
      </c>
      <c r="C638" s="10">
        <f t="shared" si="36"/>
        <v>-2.3000000000006019E-3</v>
      </c>
      <c r="D638" s="11">
        <f t="shared" si="37"/>
        <v>1.0511000000000383</v>
      </c>
      <c r="E638" s="13">
        <v>63.5</v>
      </c>
      <c r="F638" s="14">
        <v>0.90586999999999995</v>
      </c>
      <c r="G638" s="10">
        <f t="shared" si="38"/>
        <v>-2.2999999999994917E-3</v>
      </c>
      <c r="H638" s="11">
        <f t="shared" si="39"/>
        <v>1.0519199999999675</v>
      </c>
    </row>
    <row r="639" spans="1:8" ht="13.8" thickBot="1">
      <c r="A639" s="13">
        <v>63.6</v>
      </c>
      <c r="B639" s="14">
        <v>0.90481999999999996</v>
      </c>
      <c r="C639" s="10">
        <f t="shared" si="36"/>
        <v>-2.2999999999994917E-3</v>
      </c>
      <c r="D639" s="11">
        <f t="shared" si="37"/>
        <v>1.0510999999999677</v>
      </c>
      <c r="E639" s="13">
        <v>63.6</v>
      </c>
      <c r="F639" s="14">
        <v>0.90564</v>
      </c>
      <c r="G639" s="10">
        <f t="shared" si="38"/>
        <v>-2.4000000000001455E-3</v>
      </c>
      <c r="H639" s="11">
        <f t="shared" si="39"/>
        <v>1.0582800000000092</v>
      </c>
    </row>
    <row r="640" spans="1:8" ht="13.8" thickBot="1">
      <c r="A640" s="13">
        <v>63.7</v>
      </c>
      <c r="B640" s="14">
        <v>0.90459000000000001</v>
      </c>
      <c r="C640" s="10">
        <f t="shared" si="36"/>
        <v>-2.2999999999996552E-3</v>
      </c>
      <c r="D640" s="11">
        <f t="shared" si="37"/>
        <v>1.0510999999999782</v>
      </c>
      <c r="E640" s="13">
        <v>63.7</v>
      </c>
      <c r="F640" s="14">
        <v>0.90539999999999998</v>
      </c>
      <c r="G640" s="10">
        <f t="shared" si="38"/>
        <v>-2.2999999999996552E-3</v>
      </c>
      <c r="H640" s="11">
        <f t="shared" si="39"/>
        <v>1.0519099999999781</v>
      </c>
    </row>
    <row r="641" spans="1:8" ht="13.8" thickBot="1">
      <c r="A641" s="13">
        <v>63.8</v>
      </c>
      <c r="B641" s="14">
        <v>0.90436000000000005</v>
      </c>
      <c r="C641" s="10">
        <f t="shared" si="36"/>
        <v>-2.3000000000006023E-3</v>
      </c>
      <c r="D641" s="11">
        <f t="shared" si="37"/>
        <v>1.0511000000000383</v>
      </c>
      <c r="E641" s="13">
        <v>63.8</v>
      </c>
      <c r="F641" s="14">
        <v>0.90517000000000003</v>
      </c>
      <c r="G641" s="10">
        <f t="shared" si="38"/>
        <v>-2.3000000000006023E-3</v>
      </c>
      <c r="H641" s="11">
        <f t="shared" si="39"/>
        <v>1.0519100000000383</v>
      </c>
    </row>
    <row r="642" spans="1:8" ht="13.8" thickBot="1">
      <c r="A642" s="13">
        <v>63.9</v>
      </c>
      <c r="B642" s="14">
        <v>0.90412999999999999</v>
      </c>
      <c r="C642" s="10">
        <f t="shared" si="36"/>
        <v>-2.2999999999994917E-3</v>
      </c>
      <c r="D642" s="11">
        <f t="shared" si="37"/>
        <v>1.0510999999999675</v>
      </c>
      <c r="E642" s="13">
        <v>63.9</v>
      </c>
      <c r="F642" s="14">
        <v>0.90493999999999997</v>
      </c>
      <c r="G642" s="10">
        <f t="shared" si="38"/>
        <v>-2.2999999999994917E-3</v>
      </c>
      <c r="H642" s="11">
        <f t="shared" si="39"/>
        <v>1.0519099999999675</v>
      </c>
    </row>
    <row r="643" spans="1:8" ht="13.8" thickBot="1">
      <c r="A643" s="8">
        <v>64</v>
      </c>
      <c r="B643" s="17">
        <v>0.90390000000000004</v>
      </c>
      <c r="C643" s="10">
        <f t="shared" si="36"/>
        <v>-2.3000000000007654E-3</v>
      </c>
      <c r="D643" s="11">
        <f t="shared" si="37"/>
        <v>1.051100000000049</v>
      </c>
      <c r="E643" s="8">
        <v>64</v>
      </c>
      <c r="F643" s="17">
        <v>0.90471000000000001</v>
      </c>
      <c r="G643" s="10">
        <f t="shared" si="38"/>
        <v>-2.3000000000007654E-3</v>
      </c>
      <c r="H643" s="11">
        <f t="shared" si="39"/>
        <v>1.051910000000049</v>
      </c>
    </row>
    <row r="644" spans="1:8" ht="13.8" thickBot="1">
      <c r="A644" s="13">
        <v>64.099999999999994</v>
      </c>
      <c r="B644" s="14">
        <v>0.90366999999999997</v>
      </c>
      <c r="C644" s="10">
        <f t="shared" ref="C644:C707" si="40">SLOPE(B644:B645,A644:A645)</f>
        <v>-2.2999999999993286E-3</v>
      </c>
      <c r="D644" s="11">
        <f t="shared" ref="D644:D707" si="41">INTERCEPT(B644:B645,A644:A645)</f>
        <v>1.0510999999999568</v>
      </c>
      <c r="E644" s="13">
        <v>64.099999999999994</v>
      </c>
      <c r="F644" s="14">
        <v>0.90447999999999995</v>
      </c>
      <c r="G644" s="10">
        <f t="shared" ref="G644:G707" si="42">SLOPE(F644:F645,E644:E645)</f>
        <v>-2.2999999999993286E-3</v>
      </c>
      <c r="H644" s="11">
        <f t="shared" ref="H644:H707" si="43">INTERCEPT(F644:F645,E644:E645)</f>
        <v>1.0519099999999568</v>
      </c>
    </row>
    <row r="645" spans="1:8" ht="13.8" thickBot="1">
      <c r="A645" s="13">
        <v>64.2</v>
      </c>
      <c r="B645" s="14">
        <v>0.90344000000000002</v>
      </c>
      <c r="C645" s="10">
        <f t="shared" si="40"/>
        <v>-2.3000000000007654E-3</v>
      </c>
      <c r="D645" s="11">
        <f t="shared" si="41"/>
        <v>1.0511000000000492</v>
      </c>
      <c r="E645" s="13">
        <v>64.2</v>
      </c>
      <c r="F645" s="14">
        <v>0.90425</v>
      </c>
      <c r="G645" s="10">
        <f t="shared" si="42"/>
        <v>-2.2999999999996552E-3</v>
      </c>
      <c r="H645" s="11">
        <f t="shared" si="43"/>
        <v>1.0519099999999779</v>
      </c>
    </row>
    <row r="646" spans="1:8" ht="13.8" thickBot="1">
      <c r="A646" s="13">
        <v>64.3</v>
      </c>
      <c r="B646" s="14">
        <v>0.90320999999999996</v>
      </c>
      <c r="C646" s="10">
        <f t="shared" si="40"/>
        <v>-2.3999999999988648E-3</v>
      </c>
      <c r="D646" s="11">
        <f t="shared" si="41"/>
        <v>1.0575299999999268</v>
      </c>
      <c r="E646" s="13">
        <v>64.3</v>
      </c>
      <c r="F646" s="14">
        <v>0.90402000000000005</v>
      </c>
      <c r="G646" s="10">
        <f t="shared" si="42"/>
        <v>-2.3999999999999751E-3</v>
      </c>
      <c r="H646" s="11">
        <f t="shared" si="43"/>
        <v>1.0583399999999985</v>
      </c>
    </row>
    <row r="647" spans="1:8" ht="13.8" thickBot="1">
      <c r="A647" s="13">
        <v>64.400000000000006</v>
      </c>
      <c r="B647" s="14">
        <v>0.90297000000000005</v>
      </c>
      <c r="C647" s="10">
        <f t="shared" si="40"/>
        <v>-2.3000000000007654E-3</v>
      </c>
      <c r="D647" s="11">
        <f t="shared" si="41"/>
        <v>1.0510900000000494</v>
      </c>
      <c r="E647" s="13">
        <v>64.400000000000006</v>
      </c>
      <c r="F647" s="14">
        <v>0.90378000000000003</v>
      </c>
      <c r="G647" s="10">
        <f t="shared" si="42"/>
        <v>-2.3000000000007654E-3</v>
      </c>
      <c r="H647" s="11">
        <f t="shared" si="43"/>
        <v>1.0519000000000494</v>
      </c>
    </row>
    <row r="648" spans="1:8" ht="13.8" thickBot="1">
      <c r="A648" s="13">
        <v>64.5</v>
      </c>
      <c r="B648" s="14">
        <v>0.90273999999999999</v>
      </c>
      <c r="C648" s="10">
        <f t="shared" si="40"/>
        <v>-2.2999999999996552E-3</v>
      </c>
      <c r="D648" s="11">
        <f t="shared" si="41"/>
        <v>1.0510899999999777</v>
      </c>
      <c r="E648" s="13">
        <v>64.5</v>
      </c>
      <c r="F648" s="14">
        <v>0.90354999999999996</v>
      </c>
      <c r="G648" s="10">
        <f t="shared" si="42"/>
        <v>-2.2999999999996552E-3</v>
      </c>
      <c r="H648" s="11">
        <f t="shared" si="43"/>
        <v>1.0518999999999776</v>
      </c>
    </row>
    <row r="649" spans="1:8" ht="13.8" thickBot="1">
      <c r="A649" s="13">
        <v>64.599999999999994</v>
      </c>
      <c r="B649" s="14">
        <v>0.90251000000000003</v>
      </c>
      <c r="C649" s="10">
        <f t="shared" si="40"/>
        <v>-2.3000000000004388E-3</v>
      </c>
      <c r="D649" s="11">
        <f t="shared" si="41"/>
        <v>1.0510900000000285</v>
      </c>
      <c r="E649" s="13">
        <v>64.599999999999994</v>
      </c>
      <c r="F649" s="14">
        <v>0.90332000000000001</v>
      </c>
      <c r="G649" s="10">
        <f t="shared" si="42"/>
        <v>-2.3000000000004388E-3</v>
      </c>
      <c r="H649" s="11">
        <f t="shared" si="43"/>
        <v>1.0519000000000285</v>
      </c>
    </row>
    <row r="650" spans="1:8" ht="13.8" thickBot="1">
      <c r="A650" s="13">
        <v>64.7</v>
      </c>
      <c r="B650" s="14">
        <v>0.90227999999999997</v>
      </c>
      <c r="C650" s="10">
        <f t="shared" si="40"/>
        <v>-2.4000000000003159E-3</v>
      </c>
      <c r="D650" s="11">
        <f t="shared" si="41"/>
        <v>1.0575600000000205</v>
      </c>
      <c r="E650" s="13">
        <v>64.7</v>
      </c>
      <c r="F650" s="14">
        <v>0.90308999999999995</v>
      </c>
      <c r="G650" s="10">
        <f t="shared" si="42"/>
        <v>-2.3999999999992057E-3</v>
      </c>
      <c r="H650" s="11">
        <f t="shared" si="43"/>
        <v>1.0583699999999485</v>
      </c>
    </row>
    <row r="651" spans="1:8" ht="13.8" thickBot="1">
      <c r="A651" s="13">
        <v>64.8</v>
      </c>
      <c r="B651" s="14">
        <v>0.90203999999999995</v>
      </c>
      <c r="C651" s="10">
        <f t="shared" si="40"/>
        <v>-2.2999999999993286E-3</v>
      </c>
      <c r="D651" s="11">
        <f t="shared" si="41"/>
        <v>1.0510799999999565</v>
      </c>
      <c r="E651" s="13">
        <v>64.8</v>
      </c>
      <c r="F651" s="14">
        <v>0.90285000000000004</v>
      </c>
      <c r="G651" s="10">
        <f t="shared" si="42"/>
        <v>-2.3000000000004388E-3</v>
      </c>
      <c r="H651" s="11">
        <f t="shared" si="43"/>
        <v>1.0518900000000286</v>
      </c>
    </row>
    <row r="652" spans="1:8" ht="13.8" thickBot="1">
      <c r="A652" s="13">
        <v>64.900000000000006</v>
      </c>
      <c r="B652" s="14">
        <v>0.90181</v>
      </c>
      <c r="C652" s="10">
        <f t="shared" si="40"/>
        <v>-2.4000000000003159E-3</v>
      </c>
      <c r="D652" s="11">
        <f t="shared" si="41"/>
        <v>1.0575700000000205</v>
      </c>
      <c r="E652" s="13">
        <v>64.900000000000006</v>
      </c>
      <c r="F652" s="14">
        <v>0.90261999999999998</v>
      </c>
      <c r="G652" s="10">
        <f t="shared" si="42"/>
        <v>-2.4000000000003159E-3</v>
      </c>
      <c r="H652" s="11">
        <f t="shared" si="43"/>
        <v>1.0583800000000205</v>
      </c>
    </row>
    <row r="653" spans="1:8" ht="13.8" thickBot="1">
      <c r="A653" s="8">
        <v>65</v>
      </c>
      <c r="B653" s="17">
        <v>0.90156999999999998</v>
      </c>
      <c r="C653" s="10">
        <f t="shared" si="40"/>
        <v>-2.2999999999996552E-3</v>
      </c>
      <c r="D653" s="11">
        <f t="shared" si="41"/>
        <v>1.0510699999999775</v>
      </c>
      <c r="E653" s="8">
        <v>65</v>
      </c>
      <c r="F653" s="17">
        <v>0.90237999999999996</v>
      </c>
      <c r="G653" s="10">
        <f t="shared" si="42"/>
        <v>-2.2999999999996552E-3</v>
      </c>
      <c r="H653" s="11">
        <f t="shared" si="43"/>
        <v>1.0518799999999775</v>
      </c>
    </row>
    <row r="654" spans="1:8" ht="13.8" thickBot="1">
      <c r="A654" s="13">
        <v>65.099999999999994</v>
      </c>
      <c r="B654" s="14">
        <v>0.90134000000000003</v>
      </c>
      <c r="C654" s="10">
        <f t="shared" si="40"/>
        <v>-2.3000000000004388E-3</v>
      </c>
      <c r="D654" s="11">
        <f t="shared" si="41"/>
        <v>1.0510700000000286</v>
      </c>
      <c r="E654" s="13">
        <v>65.099999999999994</v>
      </c>
      <c r="F654" s="14">
        <v>0.90215000000000001</v>
      </c>
      <c r="G654" s="10">
        <f t="shared" si="42"/>
        <v>-2.2999999999993286E-3</v>
      </c>
      <c r="H654" s="11">
        <f t="shared" si="43"/>
        <v>1.0518799999999562</v>
      </c>
    </row>
    <row r="655" spans="1:8" ht="13.8" thickBot="1">
      <c r="A655" s="13">
        <v>65.2</v>
      </c>
      <c r="B655" s="14">
        <v>0.90110999999999997</v>
      </c>
      <c r="C655" s="10">
        <f t="shared" si="40"/>
        <v>-2.4000000000003159E-3</v>
      </c>
      <c r="D655" s="11">
        <f t="shared" si="41"/>
        <v>1.0575900000000207</v>
      </c>
      <c r="E655" s="13">
        <v>65.2</v>
      </c>
      <c r="F655" s="14">
        <v>0.90192000000000005</v>
      </c>
      <c r="G655" s="10">
        <f t="shared" si="42"/>
        <v>-2.4000000000003159E-3</v>
      </c>
      <c r="H655" s="11">
        <f t="shared" si="43"/>
        <v>1.0584000000000207</v>
      </c>
    </row>
    <row r="656" spans="1:8" ht="13.8" thickBot="1">
      <c r="A656" s="13">
        <v>65.3</v>
      </c>
      <c r="B656" s="14">
        <v>0.90086999999999995</v>
      </c>
      <c r="C656" s="10">
        <f t="shared" si="40"/>
        <v>-2.2999999999993286E-3</v>
      </c>
      <c r="D656" s="11">
        <f t="shared" si="41"/>
        <v>1.0510599999999561</v>
      </c>
      <c r="E656" s="13">
        <v>65.3</v>
      </c>
      <c r="F656" s="14">
        <v>0.90168000000000004</v>
      </c>
      <c r="G656" s="10">
        <f t="shared" si="42"/>
        <v>-2.3000000000004388E-3</v>
      </c>
      <c r="H656" s="11">
        <f t="shared" si="43"/>
        <v>1.0518700000000285</v>
      </c>
    </row>
    <row r="657" spans="1:8" ht="13.8" thickBot="1">
      <c r="A657" s="13">
        <v>65.400000000000006</v>
      </c>
      <c r="B657" s="14">
        <v>0.90064</v>
      </c>
      <c r="C657" s="10">
        <f t="shared" si="40"/>
        <v>-2.4000000000003159E-3</v>
      </c>
      <c r="D657" s="11">
        <f t="shared" si="41"/>
        <v>1.0576000000000207</v>
      </c>
      <c r="E657" s="13">
        <v>65.400000000000006</v>
      </c>
      <c r="F657" s="14">
        <v>0.90144999999999997</v>
      </c>
      <c r="G657" s="10">
        <f t="shared" si="42"/>
        <v>-2.4000000000003159E-3</v>
      </c>
      <c r="H657" s="11">
        <f t="shared" si="43"/>
        <v>1.0584100000000207</v>
      </c>
    </row>
    <row r="658" spans="1:8" ht="13.8" thickBot="1">
      <c r="A658" s="13">
        <v>65.5</v>
      </c>
      <c r="B658" s="14">
        <v>0.90039999999999998</v>
      </c>
      <c r="C658" s="10">
        <f t="shared" si="40"/>
        <v>-2.2999999999996552E-3</v>
      </c>
      <c r="D658" s="11">
        <f t="shared" si="41"/>
        <v>1.0510499999999774</v>
      </c>
      <c r="E658" s="13">
        <v>65.5</v>
      </c>
      <c r="F658" s="14">
        <v>0.90120999999999996</v>
      </c>
      <c r="G658" s="10">
        <f t="shared" si="42"/>
        <v>-2.2999999999996552E-3</v>
      </c>
      <c r="H658" s="11">
        <f t="shared" si="43"/>
        <v>1.0518599999999774</v>
      </c>
    </row>
    <row r="659" spans="1:8" ht="13.8" thickBot="1">
      <c r="A659" s="13">
        <v>65.599999999999994</v>
      </c>
      <c r="B659" s="14">
        <v>0.90017000000000003</v>
      </c>
      <c r="C659" s="10">
        <f t="shared" si="40"/>
        <v>-2.3999999999999751E-3</v>
      </c>
      <c r="D659" s="11">
        <f t="shared" si="41"/>
        <v>1.0576099999999984</v>
      </c>
      <c r="E659" s="13">
        <v>65.599999999999994</v>
      </c>
      <c r="F659" s="14">
        <v>0.90098</v>
      </c>
      <c r="G659" s="10">
        <f t="shared" si="42"/>
        <v>-2.3999999999999751E-3</v>
      </c>
      <c r="H659" s="11">
        <f t="shared" si="43"/>
        <v>1.0584199999999984</v>
      </c>
    </row>
    <row r="660" spans="1:8" ht="13.8" thickBot="1">
      <c r="A660" s="13">
        <v>65.7</v>
      </c>
      <c r="B660" s="14">
        <v>0.89993000000000001</v>
      </c>
      <c r="C660" s="10">
        <f t="shared" si="40"/>
        <v>-2.2999999999996552E-3</v>
      </c>
      <c r="D660" s="11">
        <f t="shared" si="41"/>
        <v>1.0510399999999773</v>
      </c>
      <c r="E660" s="13">
        <v>65.7</v>
      </c>
      <c r="F660" s="14">
        <v>0.90073999999999999</v>
      </c>
      <c r="G660" s="10">
        <f t="shared" si="42"/>
        <v>-2.2999999999996552E-3</v>
      </c>
      <c r="H660" s="11">
        <f t="shared" si="43"/>
        <v>1.0518499999999773</v>
      </c>
    </row>
    <row r="661" spans="1:8" ht="13.8" thickBot="1">
      <c r="A661" s="13">
        <v>65.8</v>
      </c>
      <c r="B661" s="14">
        <v>0.89970000000000006</v>
      </c>
      <c r="C661" s="10">
        <f t="shared" si="40"/>
        <v>-2.3999999999999751E-3</v>
      </c>
      <c r="D661" s="11">
        <f t="shared" si="41"/>
        <v>1.0576199999999985</v>
      </c>
      <c r="E661" s="13">
        <v>65.8</v>
      </c>
      <c r="F661" s="14">
        <v>0.90051000000000003</v>
      </c>
      <c r="G661" s="10">
        <f t="shared" si="42"/>
        <v>-2.3999999999999751E-3</v>
      </c>
      <c r="H661" s="11">
        <f t="shared" si="43"/>
        <v>1.0584299999999984</v>
      </c>
    </row>
    <row r="662" spans="1:8" ht="13.8" thickBot="1">
      <c r="A662" s="13">
        <v>65.900000000000006</v>
      </c>
      <c r="B662" s="14">
        <v>0.89946000000000004</v>
      </c>
      <c r="C662" s="10">
        <f t="shared" si="40"/>
        <v>-2.4000000000003159E-3</v>
      </c>
      <c r="D662" s="11">
        <f t="shared" si="41"/>
        <v>1.0576200000000209</v>
      </c>
      <c r="E662" s="13">
        <v>65.900000000000006</v>
      </c>
      <c r="F662" s="14">
        <v>0.90027000000000001</v>
      </c>
      <c r="G662" s="10">
        <f t="shared" si="42"/>
        <v>-2.4000000000003159E-3</v>
      </c>
      <c r="H662" s="11">
        <f t="shared" si="43"/>
        <v>1.0584300000000209</v>
      </c>
    </row>
    <row r="663" spans="1:8" ht="13.8" thickBot="1">
      <c r="A663" s="8">
        <v>66</v>
      </c>
      <c r="B663" s="17">
        <v>0.89922000000000002</v>
      </c>
      <c r="C663" s="10">
        <f t="shared" si="40"/>
        <v>-2.3000000000007654E-3</v>
      </c>
      <c r="D663" s="11">
        <f t="shared" si="41"/>
        <v>1.0510200000000505</v>
      </c>
      <c r="E663" s="8">
        <v>66</v>
      </c>
      <c r="F663" s="17">
        <v>0.90003</v>
      </c>
      <c r="G663" s="10">
        <f t="shared" si="42"/>
        <v>-2.2999999999996552E-3</v>
      </c>
      <c r="H663" s="11">
        <f t="shared" si="43"/>
        <v>1.0518299999999772</v>
      </c>
    </row>
    <row r="664" spans="1:8" ht="13.8" thickBot="1">
      <c r="A664" s="13">
        <v>66.099999999999994</v>
      </c>
      <c r="B664" s="14">
        <v>0.89898999999999996</v>
      </c>
      <c r="C664" s="10">
        <f t="shared" si="40"/>
        <v>-2.3999999999988648E-3</v>
      </c>
      <c r="D664" s="11">
        <f t="shared" si="41"/>
        <v>1.057629999999925</v>
      </c>
      <c r="E664" s="13">
        <v>66.099999999999994</v>
      </c>
      <c r="F664" s="14">
        <v>0.89980000000000004</v>
      </c>
      <c r="G664" s="10">
        <f t="shared" si="42"/>
        <v>-2.3999999999999751E-3</v>
      </c>
      <c r="H664" s="11">
        <f t="shared" si="43"/>
        <v>1.0584399999999985</v>
      </c>
    </row>
    <row r="665" spans="1:8" ht="13.8" thickBot="1">
      <c r="A665" s="13">
        <v>66.2</v>
      </c>
      <c r="B665" s="14">
        <v>0.89875000000000005</v>
      </c>
      <c r="C665" s="10">
        <f t="shared" si="40"/>
        <v>-2.4000000000003159E-3</v>
      </c>
      <c r="D665" s="11">
        <f t="shared" si="41"/>
        <v>1.0576300000000209</v>
      </c>
      <c r="E665" s="13">
        <v>66.2</v>
      </c>
      <c r="F665" s="14">
        <v>0.89956000000000003</v>
      </c>
      <c r="G665" s="10">
        <f t="shared" si="42"/>
        <v>-2.4000000000003159E-3</v>
      </c>
      <c r="H665" s="11">
        <f t="shared" si="43"/>
        <v>1.0584400000000209</v>
      </c>
    </row>
    <row r="666" spans="1:8" ht="13.8" thickBot="1">
      <c r="A666" s="13">
        <v>66.3</v>
      </c>
      <c r="B666" s="14">
        <v>0.89851000000000003</v>
      </c>
      <c r="C666" s="10">
        <f t="shared" si="40"/>
        <v>-2.3000000000004388E-3</v>
      </c>
      <c r="D666" s="11">
        <f t="shared" si="41"/>
        <v>1.0510000000000292</v>
      </c>
      <c r="E666" s="13">
        <v>66.3</v>
      </c>
      <c r="F666" s="14">
        <v>0.89932000000000001</v>
      </c>
      <c r="G666" s="10">
        <f t="shared" si="42"/>
        <v>-2.3000000000004388E-3</v>
      </c>
      <c r="H666" s="11">
        <f t="shared" si="43"/>
        <v>1.0518100000000292</v>
      </c>
    </row>
    <row r="667" spans="1:8" ht="13.8" thickBot="1">
      <c r="A667" s="13">
        <v>66.400000000000006</v>
      </c>
      <c r="B667" s="14">
        <v>0.89827999999999997</v>
      </c>
      <c r="C667" s="10">
        <f t="shared" si="40"/>
        <v>-2.4000000000003159E-3</v>
      </c>
      <c r="D667" s="11">
        <f t="shared" si="41"/>
        <v>1.057640000000021</v>
      </c>
      <c r="E667" s="13">
        <v>66.400000000000006</v>
      </c>
      <c r="F667" s="14">
        <v>0.89908999999999994</v>
      </c>
      <c r="G667" s="10">
        <f t="shared" si="42"/>
        <v>-2.3999999999992057E-3</v>
      </c>
      <c r="H667" s="11">
        <f t="shared" si="43"/>
        <v>1.0584499999999473</v>
      </c>
    </row>
    <row r="668" spans="1:8" ht="13.8" thickBot="1">
      <c r="A668" s="13">
        <v>66.5</v>
      </c>
      <c r="B668" s="14">
        <v>0.89803999999999995</v>
      </c>
      <c r="C668" s="10">
        <f t="shared" si="40"/>
        <v>-2.3999999999992057E-3</v>
      </c>
      <c r="D668" s="11">
        <f t="shared" si="41"/>
        <v>1.0576399999999473</v>
      </c>
      <c r="E668" s="13">
        <v>66.5</v>
      </c>
      <c r="F668" s="14">
        <v>0.89885000000000004</v>
      </c>
      <c r="G668" s="10">
        <f t="shared" si="42"/>
        <v>-2.4000000000003159E-3</v>
      </c>
      <c r="H668" s="11">
        <f t="shared" si="43"/>
        <v>1.058450000000021</v>
      </c>
    </row>
    <row r="669" spans="1:8" ht="13.8" thickBot="1">
      <c r="A669" s="13">
        <v>66.599999999999994</v>
      </c>
      <c r="B669" s="14">
        <v>0.89780000000000004</v>
      </c>
      <c r="C669" s="10">
        <f t="shared" si="40"/>
        <v>-2.3999999999999751E-3</v>
      </c>
      <c r="D669" s="11">
        <f t="shared" si="41"/>
        <v>1.0576399999999984</v>
      </c>
      <c r="E669" s="13">
        <v>66.599999999999994</v>
      </c>
      <c r="F669" s="14">
        <v>0.89861000000000002</v>
      </c>
      <c r="G669" s="10">
        <f t="shared" si="42"/>
        <v>-2.3999999999999751E-3</v>
      </c>
      <c r="H669" s="11">
        <f t="shared" si="43"/>
        <v>1.0584499999999983</v>
      </c>
    </row>
    <row r="670" spans="1:8" ht="13.8" thickBot="1">
      <c r="A670" s="13">
        <v>66.7</v>
      </c>
      <c r="B670" s="14">
        <v>0.89756000000000002</v>
      </c>
      <c r="C670" s="10">
        <f t="shared" si="40"/>
        <v>-2.4000000000003159E-3</v>
      </c>
      <c r="D670" s="11">
        <f t="shared" si="41"/>
        <v>1.057640000000021</v>
      </c>
      <c r="E670" s="13">
        <v>66.7</v>
      </c>
      <c r="F670" s="14">
        <v>0.89837</v>
      </c>
      <c r="G670" s="10">
        <f t="shared" si="42"/>
        <v>-2.4000000000003159E-3</v>
      </c>
      <c r="H670" s="11">
        <f t="shared" si="43"/>
        <v>1.058450000000021</v>
      </c>
    </row>
    <row r="671" spans="1:8" ht="13.8" thickBot="1">
      <c r="A671" s="13">
        <v>66.8</v>
      </c>
      <c r="B671" s="14">
        <v>0.89732000000000001</v>
      </c>
      <c r="C671" s="10">
        <f t="shared" si="40"/>
        <v>-2.2999999999993286E-3</v>
      </c>
      <c r="D671" s="11">
        <f t="shared" si="41"/>
        <v>1.050959999999955</v>
      </c>
      <c r="E671" s="13">
        <v>66.8</v>
      </c>
      <c r="F671" s="14">
        <v>0.89812999999999998</v>
      </c>
      <c r="G671" s="10">
        <f t="shared" si="42"/>
        <v>-2.2999999999993286E-3</v>
      </c>
      <c r="H671" s="11">
        <f t="shared" si="43"/>
        <v>1.051769999999955</v>
      </c>
    </row>
    <row r="672" spans="1:8" ht="13.8" thickBot="1">
      <c r="A672" s="13">
        <v>66.900000000000006</v>
      </c>
      <c r="B672" s="14">
        <v>0.89709000000000005</v>
      </c>
      <c r="C672" s="10">
        <f t="shared" si="40"/>
        <v>-2.4000000000003159E-3</v>
      </c>
      <c r="D672" s="11">
        <f t="shared" si="41"/>
        <v>1.0576500000000213</v>
      </c>
      <c r="E672" s="13">
        <v>66.900000000000006</v>
      </c>
      <c r="F672" s="14">
        <v>0.89790000000000003</v>
      </c>
      <c r="G672" s="10">
        <f t="shared" si="42"/>
        <v>-2.4000000000003159E-3</v>
      </c>
      <c r="H672" s="11">
        <f t="shared" si="43"/>
        <v>1.0584600000000213</v>
      </c>
    </row>
    <row r="673" spans="1:8" ht="13.8" thickBot="1">
      <c r="A673" s="8">
        <v>67</v>
      </c>
      <c r="B673" s="17">
        <v>0.89685000000000004</v>
      </c>
      <c r="C673" s="10">
        <f t="shared" si="40"/>
        <v>-2.4000000000003159E-3</v>
      </c>
      <c r="D673" s="11">
        <f t="shared" si="41"/>
        <v>1.0576500000000213</v>
      </c>
      <c r="E673" s="8">
        <v>67</v>
      </c>
      <c r="F673" s="17">
        <v>0.89766000000000001</v>
      </c>
      <c r="G673" s="10">
        <f t="shared" si="42"/>
        <v>-2.4000000000003159E-3</v>
      </c>
      <c r="H673" s="11">
        <f t="shared" si="43"/>
        <v>1.0584600000000213</v>
      </c>
    </row>
    <row r="674" spans="1:8" ht="13.8" thickBot="1">
      <c r="A674" s="13">
        <v>67.099999999999994</v>
      </c>
      <c r="B674" s="14">
        <v>0.89661000000000002</v>
      </c>
      <c r="C674" s="10">
        <f t="shared" si="40"/>
        <v>-2.3999999999999751E-3</v>
      </c>
      <c r="D674" s="11">
        <f t="shared" si="41"/>
        <v>1.0576499999999984</v>
      </c>
      <c r="E674" s="13">
        <v>67.099999999999994</v>
      </c>
      <c r="F674" s="14">
        <v>0.89742</v>
      </c>
      <c r="G674" s="10">
        <f t="shared" si="42"/>
        <v>-2.3999999999999751E-3</v>
      </c>
      <c r="H674" s="11">
        <f t="shared" si="43"/>
        <v>1.0584599999999984</v>
      </c>
    </row>
    <row r="675" spans="1:8" ht="13.8" thickBot="1">
      <c r="A675" s="13">
        <v>67.2</v>
      </c>
      <c r="B675" s="14">
        <v>0.89637</v>
      </c>
      <c r="C675" s="10">
        <f t="shared" si="40"/>
        <v>-2.4000000000003159E-3</v>
      </c>
      <c r="D675" s="11">
        <f t="shared" si="41"/>
        <v>1.0576500000000213</v>
      </c>
      <c r="E675" s="13">
        <v>67.2</v>
      </c>
      <c r="F675" s="14">
        <v>0.89717999999999998</v>
      </c>
      <c r="G675" s="10">
        <f t="shared" si="42"/>
        <v>-2.4000000000003159E-3</v>
      </c>
      <c r="H675" s="11">
        <f t="shared" si="43"/>
        <v>1.0584600000000213</v>
      </c>
    </row>
    <row r="676" spans="1:8" ht="13.8" thickBot="1">
      <c r="A676" s="13">
        <v>67.3</v>
      </c>
      <c r="B676" s="14">
        <v>0.89612999999999998</v>
      </c>
      <c r="C676" s="10">
        <f t="shared" si="40"/>
        <v>-2.3999999999999751E-3</v>
      </c>
      <c r="D676" s="11">
        <f t="shared" si="41"/>
        <v>1.0576499999999982</v>
      </c>
      <c r="E676" s="13">
        <v>67.3</v>
      </c>
      <c r="F676" s="14">
        <v>0.89693999999999996</v>
      </c>
      <c r="G676" s="10">
        <f t="shared" si="42"/>
        <v>-2.3999999999988648E-3</v>
      </c>
      <c r="H676" s="11">
        <f t="shared" si="43"/>
        <v>1.0584599999999236</v>
      </c>
    </row>
    <row r="677" spans="1:8" ht="13.8" thickBot="1">
      <c r="A677" s="13">
        <v>67.400000000000006</v>
      </c>
      <c r="B677" s="14">
        <v>0.89588999999999996</v>
      </c>
      <c r="C677" s="10">
        <f t="shared" si="40"/>
        <v>-2.4000000000003159E-3</v>
      </c>
      <c r="D677" s="11">
        <f t="shared" si="41"/>
        <v>1.0576500000000213</v>
      </c>
      <c r="E677" s="13">
        <v>67.400000000000006</v>
      </c>
      <c r="F677" s="14">
        <v>0.89670000000000005</v>
      </c>
      <c r="G677" s="10">
        <f t="shared" si="42"/>
        <v>-2.4000000000003159E-3</v>
      </c>
      <c r="H677" s="11">
        <f t="shared" si="43"/>
        <v>1.0584600000000213</v>
      </c>
    </row>
    <row r="678" spans="1:8" ht="13.8" thickBot="1">
      <c r="A678" s="13">
        <v>67.5</v>
      </c>
      <c r="B678" s="14">
        <v>0.89564999999999995</v>
      </c>
      <c r="C678" s="10">
        <f t="shared" si="40"/>
        <v>-2.3999999999992057E-3</v>
      </c>
      <c r="D678" s="11">
        <f t="shared" si="41"/>
        <v>1.0576499999999462</v>
      </c>
      <c r="E678" s="13">
        <v>67.5</v>
      </c>
      <c r="F678" s="14">
        <v>0.89646000000000003</v>
      </c>
      <c r="G678" s="10">
        <f t="shared" si="42"/>
        <v>-2.4000000000003159E-3</v>
      </c>
      <c r="H678" s="11">
        <f t="shared" si="43"/>
        <v>1.0584600000000213</v>
      </c>
    </row>
    <row r="679" spans="1:8" ht="13.8" thickBot="1">
      <c r="A679" s="13">
        <v>67.599999999999994</v>
      </c>
      <c r="B679" s="14">
        <v>0.89541000000000004</v>
      </c>
      <c r="C679" s="10">
        <f t="shared" si="40"/>
        <v>-2.3999999999999751E-3</v>
      </c>
      <c r="D679" s="11">
        <f t="shared" si="41"/>
        <v>1.0576499999999984</v>
      </c>
      <c r="E679" s="13">
        <v>67.599999999999994</v>
      </c>
      <c r="F679" s="14">
        <v>0.89622000000000002</v>
      </c>
      <c r="G679" s="10">
        <f t="shared" si="42"/>
        <v>-2.3999999999999751E-3</v>
      </c>
      <c r="H679" s="11">
        <f t="shared" si="43"/>
        <v>1.0584599999999984</v>
      </c>
    </row>
    <row r="680" spans="1:8" ht="13.8" thickBot="1">
      <c r="A680" s="13">
        <v>67.7</v>
      </c>
      <c r="B680" s="14">
        <v>0.89517000000000002</v>
      </c>
      <c r="C680" s="10">
        <f t="shared" si="40"/>
        <v>-2.4000000000003159E-3</v>
      </c>
      <c r="D680" s="11">
        <f t="shared" si="41"/>
        <v>1.0576500000000215</v>
      </c>
      <c r="E680" s="13">
        <v>67.7</v>
      </c>
      <c r="F680" s="14">
        <v>0.89598</v>
      </c>
      <c r="G680" s="10">
        <f t="shared" si="42"/>
        <v>-2.4000000000003159E-3</v>
      </c>
      <c r="H680" s="11">
        <f t="shared" si="43"/>
        <v>1.0584600000000215</v>
      </c>
    </row>
    <row r="681" spans="1:8" ht="13.8" thickBot="1">
      <c r="A681" s="13">
        <v>67.8</v>
      </c>
      <c r="B681" s="14">
        <v>0.89493</v>
      </c>
      <c r="C681" s="10">
        <f t="shared" si="40"/>
        <v>-2.3999999999999751E-3</v>
      </c>
      <c r="D681" s="11">
        <f t="shared" si="41"/>
        <v>1.0576499999999982</v>
      </c>
      <c r="E681" s="13">
        <v>67.8</v>
      </c>
      <c r="F681" s="14">
        <v>0.89573999999999998</v>
      </c>
      <c r="G681" s="10">
        <f t="shared" si="42"/>
        <v>-2.3999999999999751E-3</v>
      </c>
      <c r="H681" s="11">
        <f t="shared" si="43"/>
        <v>1.0584599999999982</v>
      </c>
    </row>
    <row r="682" spans="1:8" ht="13.8" thickBot="1">
      <c r="A682" s="13">
        <v>67.900000000000006</v>
      </c>
      <c r="B682" s="14">
        <v>0.89468999999999999</v>
      </c>
      <c r="C682" s="10">
        <f t="shared" si="40"/>
        <v>-2.4000000000003159E-3</v>
      </c>
      <c r="D682" s="11">
        <f t="shared" si="41"/>
        <v>1.0576500000000215</v>
      </c>
      <c r="E682" s="13">
        <v>67.900000000000006</v>
      </c>
      <c r="F682" s="14">
        <v>0.89549999999999996</v>
      </c>
      <c r="G682" s="10">
        <f t="shared" si="42"/>
        <v>-2.4000000000003159E-3</v>
      </c>
      <c r="H682" s="11">
        <f t="shared" si="43"/>
        <v>1.0584600000000215</v>
      </c>
    </row>
    <row r="683" spans="1:8" ht="13.8" thickBot="1">
      <c r="A683" s="8">
        <v>68</v>
      </c>
      <c r="B683" s="17">
        <v>0.89444999999999997</v>
      </c>
      <c r="C683" s="10">
        <f t="shared" si="40"/>
        <v>-2.4999999999998665E-3</v>
      </c>
      <c r="D683" s="11">
        <f t="shared" si="41"/>
        <v>1.064449999999991</v>
      </c>
      <c r="E683" s="8">
        <v>68</v>
      </c>
      <c r="F683" s="17">
        <v>0.89525999999999994</v>
      </c>
      <c r="G683" s="10">
        <f t="shared" si="42"/>
        <v>-2.4999999999998665E-3</v>
      </c>
      <c r="H683" s="11">
        <f t="shared" si="43"/>
        <v>1.065259999999991</v>
      </c>
    </row>
    <row r="684" spans="1:8" ht="13.8" thickBot="1">
      <c r="A684" s="13">
        <v>68.099999999999994</v>
      </c>
      <c r="B684" s="14">
        <v>0.89419999999999999</v>
      </c>
      <c r="C684" s="10">
        <f t="shared" si="40"/>
        <v>-2.3999999999999751E-3</v>
      </c>
      <c r="D684" s="11">
        <f t="shared" si="41"/>
        <v>1.0576399999999984</v>
      </c>
      <c r="E684" s="13">
        <v>68.099999999999994</v>
      </c>
      <c r="F684" s="14">
        <v>0.89500999999999997</v>
      </c>
      <c r="G684" s="10">
        <f t="shared" si="42"/>
        <v>-2.3999999999999751E-3</v>
      </c>
      <c r="H684" s="11">
        <f t="shared" si="43"/>
        <v>1.0584499999999983</v>
      </c>
    </row>
    <row r="685" spans="1:8" ht="13.8" thickBot="1">
      <c r="A685" s="13">
        <v>68.2</v>
      </c>
      <c r="B685" s="14">
        <v>0.89395999999999998</v>
      </c>
      <c r="C685" s="10">
        <f t="shared" si="40"/>
        <v>-2.4000000000003159E-3</v>
      </c>
      <c r="D685" s="11">
        <f t="shared" si="41"/>
        <v>1.0576400000000215</v>
      </c>
      <c r="E685" s="13">
        <v>68.2</v>
      </c>
      <c r="F685" s="14">
        <v>0.89476999999999995</v>
      </c>
      <c r="G685" s="10">
        <f t="shared" si="42"/>
        <v>-2.3999999999992057E-3</v>
      </c>
      <c r="H685" s="11">
        <f t="shared" si="43"/>
        <v>1.0584499999999457</v>
      </c>
    </row>
    <row r="686" spans="1:8" ht="13.8" thickBot="1">
      <c r="A686" s="13">
        <v>68.3</v>
      </c>
      <c r="B686" s="14">
        <v>0.89371999999999996</v>
      </c>
      <c r="C686" s="10">
        <f t="shared" si="40"/>
        <v>-2.3999999999988648E-3</v>
      </c>
      <c r="D686" s="11">
        <f t="shared" si="41"/>
        <v>1.0576399999999224</v>
      </c>
      <c r="E686" s="13">
        <v>68.3</v>
      </c>
      <c r="F686" s="14">
        <v>0.89453000000000005</v>
      </c>
      <c r="G686" s="10">
        <f t="shared" si="42"/>
        <v>-2.5000000000006215E-3</v>
      </c>
      <c r="H686" s="11">
        <f t="shared" si="43"/>
        <v>1.0652800000000424</v>
      </c>
    </row>
    <row r="687" spans="1:8" ht="13.8" thickBot="1">
      <c r="A687" s="13">
        <v>68.400000000000006</v>
      </c>
      <c r="B687" s="14">
        <v>0.89348000000000005</v>
      </c>
      <c r="C687" s="10">
        <f t="shared" si="40"/>
        <v>-2.5000000000009767E-3</v>
      </c>
      <c r="D687" s="11">
        <f t="shared" si="41"/>
        <v>1.0644800000000669</v>
      </c>
      <c r="E687" s="13">
        <v>68.400000000000006</v>
      </c>
      <c r="F687" s="14">
        <v>0.89427999999999996</v>
      </c>
      <c r="G687" s="10">
        <f t="shared" si="42"/>
        <v>-2.4999999999998665E-3</v>
      </c>
      <c r="H687" s="11">
        <f t="shared" si="43"/>
        <v>1.0652799999999909</v>
      </c>
    </row>
    <row r="688" spans="1:8" ht="13.8" thickBot="1">
      <c r="A688" s="13">
        <v>68.5</v>
      </c>
      <c r="B688" s="14">
        <v>0.89322999999999997</v>
      </c>
      <c r="C688" s="10">
        <f t="shared" si="40"/>
        <v>-2.4000000000003159E-3</v>
      </c>
      <c r="D688" s="11">
        <f t="shared" si="41"/>
        <v>1.0576300000000216</v>
      </c>
      <c r="E688" s="13">
        <v>68.5</v>
      </c>
      <c r="F688" s="14">
        <v>0.89402999999999999</v>
      </c>
      <c r="G688" s="10">
        <f t="shared" si="42"/>
        <v>-2.4000000000003159E-3</v>
      </c>
      <c r="H688" s="11">
        <f t="shared" si="43"/>
        <v>1.0584300000000217</v>
      </c>
    </row>
    <row r="689" spans="1:8" ht="13.8" thickBot="1">
      <c r="A689" s="13">
        <v>68.599999999999994</v>
      </c>
      <c r="B689" s="14">
        <v>0.89298999999999995</v>
      </c>
      <c r="C689" s="10">
        <f t="shared" si="40"/>
        <v>-2.3999999999988648E-3</v>
      </c>
      <c r="D689" s="11">
        <f t="shared" si="41"/>
        <v>1.0576299999999221</v>
      </c>
      <c r="E689" s="13">
        <v>68.599999999999994</v>
      </c>
      <c r="F689" s="14">
        <v>0.89378999999999997</v>
      </c>
      <c r="G689" s="10">
        <f t="shared" si="42"/>
        <v>-2.3999999999999751E-3</v>
      </c>
      <c r="H689" s="11">
        <f t="shared" si="43"/>
        <v>1.0584299999999982</v>
      </c>
    </row>
    <row r="690" spans="1:8" ht="13.8" thickBot="1">
      <c r="A690" s="13">
        <v>68.7</v>
      </c>
      <c r="B690" s="14">
        <v>0.89275000000000004</v>
      </c>
      <c r="C690" s="10">
        <f t="shared" si="40"/>
        <v>-2.5000000000009767E-3</v>
      </c>
      <c r="D690" s="11">
        <f t="shared" si="41"/>
        <v>1.0645000000000671</v>
      </c>
      <c r="E690" s="13">
        <v>68.7</v>
      </c>
      <c r="F690" s="14">
        <v>0.89354999999999996</v>
      </c>
      <c r="G690" s="10">
        <f t="shared" si="42"/>
        <v>-2.4999999999998665E-3</v>
      </c>
      <c r="H690" s="11">
        <f t="shared" si="43"/>
        <v>1.0652999999999908</v>
      </c>
    </row>
    <row r="691" spans="1:8" ht="13.8" thickBot="1">
      <c r="A691" s="13">
        <v>68.8</v>
      </c>
      <c r="B691" s="14">
        <v>0.89249999999999996</v>
      </c>
      <c r="C691" s="10">
        <f t="shared" si="40"/>
        <v>-2.3999999999988648E-3</v>
      </c>
      <c r="D691" s="11">
        <f t="shared" si="41"/>
        <v>1.0576199999999218</v>
      </c>
      <c r="E691" s="13">
        <v>68.8</v>
      </c>
      <c r="F691" s="14">
        <v>0.89329999999999998</v>
      </c>
      <c r="G691" s="10">
        <f t="shared" si="42"/>
        <v>-2.3999999999999751E-3</v>
      </c>
      <c r="H691" s="11">
        <f t="shared" si="43"/>
        <v>1.0584199999999981</v>
      </c>
    </row>
    <row r="692" spans="1:8" ht="13.8" thickBot="1">
      <c r="A692" s="13">
        <v>68.900000000000006</v>
      </c>
      <c r="B692" s="14">
        <v>0.89226000000000005</v>
      </c>
      <c r="C692" s="10">
        <f t="shared" si="40"/>
        <v>-2.4000000000003159E-3</v>
      </c>
      <c r="D692" s="11">
        <f t="shared" si="41"/>
        <v>1.0576200000000218</v>
      </c>
      <c r="E692" s="13">
        <v>68.900000000000006</v>
      </c>
      <c r="F692" s="14">
        <v>0.89305999999999996</v>
      </c>
      <c r="G692" s="10">
        <f t="shared" si="42"/>
        <v>-2.4000000000003159E-3</v>
      </c>
      <c r="H692" s="11">
        <f t="shared" si="43"/>
        <v>1.0584200000000217</v>
      </c>
    </row>
    <row r="693" spans="1:8" ht="13.8" thickBot="1">
      <c r="A693" s="8">
        <v>69</v>
      </c>
      <c r="B693" s="17">
        <v>0.89202000000000004</v>
      </c>
      <c r="C693" s="10">
        <f t="shared" si="40"/>
        <v>-2.5000000000009767E-3</v>
      </c>
      <c r="D693" s="11">
        <f t="shared" si="41"/>
        <v>1.0645200000000674</v>
      </c>
      <c r="E693" s="8">
        <v>69</v>
      </c>
      <c r="F693" s="17">
        <v>0.89281999999999995</v>
      </c>
      <c r="G693" s="10">
        <f t="shared" si="42"/>
        <v>-2.4999999999998665E-3</v>
      </c>
      <c r="H693" s="11">
        <f t="shared" si="43"/>
        <v>1.0653199999999907</v>
      </c>
    </row>
    <row r="694" spans="1:8" ht="13.8" thickBot="1">
      <c r="A694" s="13">
        <v>69.099999999999994</v>
      </c>
      <c r="B694" s="14">
        <v>0.89176999999999995</v>
      </c>
      <c r="C694" s="10">
        <f t="shared" si="40"/>
        <v>-2.3999999999988648E-3</v>
      </c>
      <c r="D694" s="11">
        <f t="shared" si="41"/>
        <v>1.0576099999999216</v>
      </c>
      <c r="E694" s="13">
        <v>69.099999999999994</v>
      </c>
      <c r="F694" s="14">
        <v>0.89256999999999997</v>
      </c>
      <c r="G694" s="10">
        <f t="shared" si="42"/>
        <v>-2.3999999999999751E-3</v>
      </c>
      <c r="H694" s="11">
        <f t="shared" si="43"/>
        <v>1.0584099999999983</v>
      </c>
    </row>
    <row r="695" spans="1:8" ht="13.8" thickBot="1">
      <c r="A695" s="13">
        <v>69.2</v>
      </c>
      <c r="B695" s="14">
        <v>0.89153000000000004</v>
      </c>
      <c r="C695" s="10">
        <f t="shared" si="40"/>
        <v>-2.5000000000009767E-3</v>
      </c>
      <c r="D695" s="11">
        <f t="shared" si="41"/>
        <v>1.0645300000000677</v>
      </c>
      <c r="E695" s="13">
        <v>69.2</v>
      </c>
      <c r="F695" s="14">
        <v>0.89232999999999996</v>
      </c>
      <c r="G695" s="10">
        <f t="shared" si="42"/>
        <v>-2.4999999999998665E-3</v>
      </c>
      <c r="H695" s="11">
        <f t="shared" si="43"/>
        <v>1.0653299999999906</v>
      </c>
    </row>
    <row r="696" spans="1:8" ht="13.8" thickBot="1">
      <c r="A696" s="13">
        <v>69.3</v>
      </c>
      <c r="B696" s="14">
        <v>0.89127999999999996</v>
      </c>
      <c r="C696" s="10">
        <f t="shared" si="40"/>
        <v>-2.3999999999988648E-3</v>
      </c>
      <c r="D696" s="11">
        <f t="shared" si="41"/>
        <v>1.0575999999999213</v>
      </c>
      <c r="E696" s="13">
        <v>69.3</v>
      </c>
      <c r="F696" s="14">
        <v>0.89207999999999998</v>
      </c>
      <c r="G696" s="10">
        <f t="shared" si="42"/>
        <v>-2.3999999999999751E-3</v>
      </c>
      <c r="H696" s="11">
        <f t="shared" si="43"/>
        <v>1.0583999999999982</v>
      </c>
    </row>
    <row r="697" spans="1:8" ht="13.8" thickBot="1">
      <c r="A697" s="13">
        <v>69.400000000000006</v>
      </c>
      <c r="B697" s="14">
        <v>0.89104000000000005</v>
      </c>
      <c r="C697" s="10">
        <f t="shared" si="40"/>
        <v>-2.5000000000009767E-3</v>
      </c>
      <c r="D697" s="11">
        <f t="shared" si="41"/>
        <v>1.0645400000000678</v>
      </c>
      <c r="E697" s="13">
        <v>69.400000000000006</v>
      </c>
      <c r="F697" s="14">
        <v>0.89183999999999997</v>
      </c>
      <c r="G697" s="10">
        <f t="shared" si="42"/>
        <v>-2.4999999999998665E-3</v>
      </c>
      <c r="H697" s="11">
        <f t="shared" si="43"/>
        <v>1.0653399999999908</v>
      </c>
    </row>
    <row r="698" spans="1:8" ht="13.8" thickBot="1">
      <c r="A698" s="13">
        <v>69.5</v>
      </c>
      <c r="B698" s="14">
        <v>0.89078999999999997</v>
      </c>
      <c r="C698" s="10">
        <f t="shared" si="40"/>
        <v>-2.4000000000003159E-3</v>
      </c>
      <c r="D698" s="11">
        <f t="shared" si="41"/>
        <v>1.057590000000022</v>
      </c>
      <c r="E698" s="13">
        <v>69.5</v>
      </c>
      <c r="F698" s="14">
        <v>0.89158999999999999</v>
      </c>
      <c r="G698" s="10">
        <f t="shared" si="42"/>
        <v>-2.4000000000003159E-3</v>
      </c>
      <c r="H698" s="11">
        <f t="shared" si="43"/>
        <v>1.0583900000000219</v>
      </c>
    </row>
    <row r="699" spans="1:8" ht="13.8" thickBot="1">
      <c r="A699" s="13">
        <v>69.599999999999994</v>
      </c>
      <c r="B699" s="14">
        <v>0.89054999999999995</v>
      </c>
      <c r="C699" s="10">
        <f t="shared" si="40"/>
        <v>-2.4999999999995113E-3</v>
      </c>
      <c r="D699" s="11">
        <f t="shared" si="41"/>
        <v>1.0645499999999659</v>
      </c>
      <c r="E699" s="13">
        <v>69.599999999999994</v>
      </c>
      <c r="F699" s="14">
        <v>0.89134999999999998</v>
      </c>
      <c r="G699" s="10">
        <f t="shared" si="42"/>
        <v>-2.4999999999995117E-3</v>
      </c>
      <c r="H699" s="11">
        <f t="shared" si="43"/>
        <v>1.0653499999999658</v>
      </c>
    </row>
    <row r="700" spans="1:8" ht="13.8" thickBot="1">
      <c r="A700" s="13">
        <v>69.7</v>
      </c>
      <c r="B700" s="14">
        <v>0.89029999999999998</v>
      </c>
      <c r="C700" s="10">
        <f t="shared" si="40"/>
        <v>-2.4999999999998665E-3</v>
      </c>
      <c r="D700" s="11">
        <f t="shared" si="41"/>
        <v>1.0645499999999906</v>
      </c>
      <c r="E700" s="13">
        <v>69.7</v>
      </c>
      <c r="F700" s="14">
        <v>0.8911</v>
      </c>
      <c r="G700" s="10">
        <f t="shared" si="42"/>
        <v>-2.4999999999998665E-3</v>
      </c>
      <c r="H700" s="11">
        <f t="shared" si="43"/>
        <v>1.0653499999999907</v>
      </c>
    </row>
    <row r="701" spans="1:8" ht="13.8" thickBot="1">
      <c r="A701" s="13">
        <v>69.8</v>
      </c>
      <c r="B701" s="14">
        <v>0.89005000000000001</v>
      </c>
      <c r="C701" s="10">
        <f t="shared" si="40"/>
        <v>-2.3999999999999751E-3</v>
      </c>
      <c r="D701" s="11">
        <f t="shared" si="41"/>
        <v>1.0575699999999983</v>
      </c>
      <c r="E701" s="13">
        <v>69.8</v>
      </c>
      <c r="F701" s="14">
        <v>0.89085000000000003</v>
      </c>
      <c r="G701" s="10">
        <f t="shared" si="42"/>
        <v>-2.3999999999999751E-3</v>
      </c>
      <c r="H701" s="11">
        <f t="shared" si="43"/>
        <v>1.0583699999999983</v>
      </c>
    </row>
    <row r="702" spans="1:8" ht="13.8" thickBot="1">
      <c r="A702" s="13">
        <v>69.900000000000006</v>
      </c>
      <c r="B702" s="14">
        <v>0.88980999999999999</v>
      </c>
      <c r="C702" s="10">
        <f t="shared" si="40"/>
        <v>-2.4999999999998665E-3</v>
      </c>
      <c r="D702" s="11">
        <f t="shared" si="41"/>
        <v>1.0645599999999908</v>
      </c>
      <c r="E702" s="13">
        <v>69.900000000000006</v>
      </c>
      <c r="F702" s="14">
        <v>0.89061000000000001</v>
      </c>
      <c r="G702" s="10">
        <f t="shared" si="42"/>
        <v>-2.4999999999998665E-3</v>
      </c>
      <c r="H702" s="11">
        <f t="shared" si="43"/>
        <v>1.0653599999999908</v>
      </c>
    </row>
    <row r="703" spans="1:8" ht="13.8" thickBot="1">
      <c r="A703" s="8">
        <v>70</v>
      </c>
      <c r="B703" s="17">
        <v>0.88956000000000002</v>
      </c>
      <c r="C703" s="10">
        <f t="shared" si="40"/>
        <v>-2.4999999999998665E-3</v>
      </c>
      <c r="D703" s="11">
        <f t="shared" si="41"/>
        <v>1.0645599999999906</v>
      </c>
      <c r="E703" s="8">
        <v>70</v>
      </c>
      <c r="F703" s="17">
        <v>0.89036000000000004</v>
      </c>
      <c r="G703" s="10">
        <f t="shared" si="42"/>
        <v>-2.5000000000009767E-3</v>
      </c>
      <c r="H703" s="11">
        <f t="shared" si="43"/>
        <v>1.0653600000000685</v>
      </c>
    </row>
    <row r="704" spans="1:8" ht="13.8" thickBot="1">
      <c r="A704" s="13">
        <v>70.099999999999994</v>
      </c>
      <c r="B704" s="14">
        <v>0.88931000000000004</v>
      </c>
      <c r="C704" s="10">
        <f t="shared" si="40"/>
        <v>-2.3999999999999751E-3</v>
      </c>
      <c r="D704" s="11">
        <f t="shared" si="41"/>
        <v>1.0575499999999982</v>
      </c>
      <c r="E704" s="13">
        <v>70.099999999999994</v>
      </c>
      <c r="F704" s="14">
        <v>0.89010999999999996</v>
      </c>
      <c r="G704" s="10">
        <f t="shared" si="42"/>
        <v>-2.3999999999988648E-3</v>
      </c>
      <c r="H704" s="11">
        <f t="shared" si="43"/>
        <v>1.0583499999999204</v>
      </c>
    </row>
    <row r="705" spans="1:8" ht="13.8" thickBot="1">
      <c r="A705" s="13">
        <v>70.2</v>
      </c>
      <c r="B705" s="14">
        <v>0.88907000000000003</v>
      </c>
      <c r="C705" s="10">
        <f t="shared" si="40"/>
        <v>-2.4999999999998665E-3</v>
      </c>
      <c r="D705" s="11">
        <f t="shared" si="41"/>
        <v>1.0645699999999907</v>
      </c>
      <c r="E705" s="13">
        <v>70.2</v>
      </c>
      <c r="F705" s="14">
        <v>0.88987000000000005</v>
      </c>
      <c r="G705" s="10">
        <f t="shared" si="42"/>
        <v>-2.5000000000009767E-3</v>
      </c>
      <c r="H705" s="11">
        <f t="shared" si="43"/>
        <v>1.0653700000000685</v>
      </c>
    </row>
    <row r="706" spans="1:8" ht="13.8" thickBot="1">
      <c r="A706" s="13">
        <v>70.3</v>
      </c>
      <c r="B706" s="14">
        <v>0.88882000000000005</v>
      </c>
      <c r="C706" s="10">
        <f t="shared" si="40"/>
        <v>-2.5000000000006215E-3</v>
      </c>
      <c r="D706" s="11">
        <f t="shared" si="41"/>
        <v>1.0645700000000438</v>
      </c>
      <c r="E706" s="13">
        <v>70.3</v>
      </c>
      <c r="F706" s="14">
        <v>0.88961999999999997</v>
      </c>
      <c r="G706" s="10">
        <f t="shared" si="42"/>
        <v>-2.4999999999995113E-3</v>
      </c>
      <c r="H706" s="11">
        <f t="shared" si="43"/>
        <v>1.0653699999999655</v>
      </c>
    </row>
    <row r="707" spans="1:8" ht="13.8" thickBot="1">
      <c r="A707" s="13">
        <v>70.400000000000006</v>
      </c>
      <c r="B707" s="14">
        <v>0.88856999999999997</v>
      </c>
      <c r="C707" s="10">
        <f t="shared" si="40"/>
        <v>-2.4999999999998665E-3</v>
      </c>
      <c r="D707" s="11">
        <f t="shared" si="41"/>
        <v>1.0645699999999905</v>
      </c>
      <c r="E707" s="13">
        <v>70.400000000000006</v>
      </c>
      <c r="F707" s="14">
        <v>0.88936999999999999</v>
      </c>
      <c r="G707" s="10">
        <f t="shared" si="42"/>
        <v>-2.4999999999998665E-3</v>
      </c>
      <c r="H707" s="11">
        <f t="shared" si="43"/>
        <v>1.0653699999999906</v>
      </c>
    </row>
    <row r="708" spans="1:8" ht="13.8" thickBot="1">
      <c r="A708" s="13">
        <v>70.5</v>
      </c>
      <c r="B708" s="14">
        <v>0.88832</v>
      </c>
      <c r="C708" s="10">
        <f t="shared" ref="C708:C771" si="44">SLOPE(B708:B709,A708:A709)</f>
        <v>-2.4000000000003159E-3</v>
      </c>
      <c r="D708" s="11">
        <f t="shared" ref="D708:D771" si="45">INTERCEPT(B708:B709,A708:A709)</f>
        <v>1.0575200000000222</v>
      </c>
      <c r="E708" s="13">
        <v>70.5</v>
      </c>
      <c r="F708" s="14">
        <v>0.88912000000000002</v>
      </c>
      <c r="G708" s="10">
        <f t="shared" ref="G708:G771" si="46">SLOPE(F708:F709,E708:E709)</f>
        <v>-2.4000000000003159E-3</v>
      </c>
      <c r="H708" s="11">
        <f t="shared" ref="H708:H771" si="47">INTERCEPT(F708:F709,E708:E709)</f>
        <v>1.0583200000000224</v>
      </c>
    </row>
    <row r="709" spans="1:8" ht="13.8" thickBot="1">
      <c r="A709" s="13">
        <v>70.599999999999994</v>
      </c>
      <c r="B709" s="14">
        <v>0.88807999999999998</v>
      </c>
      <c r="C709" s="10">
        <f t="shared" si="44"/>
        <v>-2.4999999999995113E-3</v>
      </c>
      <c r="D709" s="11">
        <f t="shared" si="45"/>
        <v>1.0645799999999654</v>
      </c>
      <c r="E709" s="13">
        <v>70.599999999999994</v>
      </c>
      <c r="F709" s="14">
        <v>0.88888</v>
      </c>
      <c r="G709" s="10">
        <f t="shared" si="46"/>
        <v>-2.4999999999995117E-3</v>
      </c>
      <c r="H709" s="11">
        <f t="shared" si="47"/>
        <v>1.0653799999999656</v>
      </c>
    </row>
    <row r="710" spans="1:8" ht="13.8" thickBot="1">
      <c r="A710" s="13">
        <v>70.7</v>
      </c>
      <c r="B710" s="14">
        <v>0.88783000000000001</v>
      </c>
      <c r="C710" s="10">
        <f t="shared" si="44"/>
        <v>-2.4999999999998665E-3</v>
      </c>
      <c r="D710" s="11">
        <f t="shared" si="45"/>
        <v>1.0645799999999905</v>
      </c>
      <c r="E710" s="13">
        <v>70.7</v>
      </c>
      <c r="F710" s="14">
        <v>0.88863000000000003</v>
      </c>
      <c r="G710" s="10">
        <f t="shared" si="46"/>
        <v>-2.5000000000009767E-3</v>
      </c>
      <c r="H710" s="11">
        <f t="shared" si="47"/>
        <v>1.065380000000069</v>
      </c>
    </row>
    <row r="711" spans="1:8" ht="13.8" thickBot="1">
      <c r="A711" s="13">
        <v>70.8</v>
      </c>
      <c r="B711" s="14">
        <v>0.88758000000000004</v>
      </c>
      <c r="C711" s="10">
        <f t="shared" si="44"/>
        <v>-2.5000000000006215E-3</v>
      </c>
      <c r="D711" s="11">
        <f t="shared" si="45"/>
        <v>1.064580000000044</v>
      </c>
      <c r="E711" s="13">
        <v>70.8</v>
      </c>
      <c r="F711" s="14">
        <v>0.88837999999999995</v>
      </c>
      <c r="G711" s="10">
        <f t="shared" si="46"/>
        <v>-2.4999999999995117E-3</v>
      </c>
      <c r="H711" s="11">
        <f t="shared" si="47"/>
        <v>1.0653799999999654</v>
      </c>
    </row>
    <row r="712" spans="1:8" ht="13.8" thickBot="1">
      <c r="A712" s="13">
        <v>70.900000000000006</v>
      </c>
      <c r="B712" s="14">
        <v>0.88732999999999995</v>
      </c>
      <c r="C712" s="10">
        <f t="shared" si="44"/>
        <v>-2.4999999999998665E-3</v>
      </c>
      <c r="D712" s="11">
        <f t="shared" si="45"/>
        <v>1.0645799999999905</v>
      </c>
      <c r="E712" s="13">
        <v>70.900000000000006</v>
      </c>
      <c r="F712" s="14">
        <v>0.88812999999999998</v>
      </c>
      <c r="G712" s="10">
        <f t="shared" si="46"/>
        <v>-2.4999999999998665E-3</v>
      </c>
      <c r="H712" s="11">
        <f t="shared" si="47"/>
        <v>1.0653799999999904</v>
      </c>
    </row>
    <row r="713" spans="1:8" ht="13.8" thickBot="1">
      <c r="A713" s="8">
        <v>71</v>
      </c>
      <c r="B713" s="17">
        <v>0.88707999999999998</v>
      </c>
      <c r="C713" s="10">
        <f t="shared" si="44"/>
        <v>-2.4999999999998665E-3</v>
      </c>
      <c r="D713" s="11">
        <f t="shared" si="45"/>
        <v>1.0645799999999905</v>
      </c>
      <c r="E713" s="8">
        <v>71</v>
      </c>
      <c r="F713" s="17">
        <v>0.88788</v>
      </c>
      <c r="G713" s="10">
        <f t="shared" si="46"/>
        <v>-2.4999999999998665E-3</v>
      </c>
      <c r="H713" s="11">
        <f t="shared" si="47"/>
        <v>1.0653799999999907</v>
      </c>
    </row>
    <row r="714" spans="1:8" ht="13.8" thickBot="1">
      <c r="A714" s="13">
        <v>71.099999999999994</v>
      </c>
      <c r="B714" s="14">
        <v>0.88683000000000001</v>
      </c>
      <c r="C714" s="10">
        <f t="shared" si="44"/>
        <v>-2.4999999999995113E-3</v>
      </c>
      <c r="D714" s="11">
        <f t="shared" si="45"/>
        <v>1.0645799999999652</v>
      </c>
      <c r="E714" s="13">
        <v>71.099999999999994</v>
      </c>
      <c r="F714" s="14">
        <v>0.88763000000000003</v>
      </c>
      <c r="G714" s="10">
        <f t="shared" si="46"/>
        <v>-2.5000000000006215E-3</v>
      </c>
      <c r="H714" s="11">
        <f t="shared" si="47"/>
        <v>1.0653800000000442</v>
      </c>
    </row>
    <row r="715" spans="1:8" ht="13.8" thickBot="1">
      <c r="A715" s="13">
        <v>71.2</v>
      </c>
      <c r="B715" s="14">
        <v>0.88658000000000003</v>
      </c>
      <c r="C715" s="10">
        <f t="shared" si="44"/>
        <v>-2.5000000000009767E-3</v>
      </c>
      <c r="D715" s="11">
        <f t="shared" si="45"/>
        <v>1.0645800000000696</v>
      </c>
      <c r="E715" s="13">
        <v>71.2</v>
      </c>
      <c r="F715" s="14">
        <v>0.88737999999999995</v>
      </c>
      <c r="G715" s="10">
        <f t="shared" si="46"/>
        <v>-2.4999999999998665E-3</v>
      </c>
      <c r="H715" s="11">
        <f t="shared" si="47"/>
        <v>1.0653799999999904</v>
      </c>
    </row>
    <row r="716" spans="1:8" ht="13.8" thickBot="1">
      <c r="A716" s="13">
        <v>71.3</v>
      </c>
      <c r="B716" s="14">
        <v>0.88632999999999995</v>
      </c>
      <c r="C716" s="10">
        <f t="shared" si="44"/>
        <v>-2.4999999999995113E-3</v>
      </c>
      <c r="D716" s="11">
        <f t="shared" si="45"/>
        <v>1.064579999999965</v>
      </c>
      <c r="E716" s="13">
        <v>71.3</v>
      </c>
      <c r="F716" s="14">
        <v>0.88712999999999997</v>
      </c>
      <c r="G716" s="10">
        <f t="shared" si="46"/>
        <v>-2.4999999999995117E-3</v>
      </c>
      <c r="H716" s="11">
        <f t="shared" si="47"/>
        <v>1.0653799999999651</v>
      </c>
    </row>
    <row r="717" spans="1:8" ht="13.8" thickBot="1">
      <c r="A717" s="13">
        <v>71.400000000000006</v>
      </c>
      <c r="B717" s="14">
        <v>0.88607999999999998</v>
      </c>
      <c r="C717" s="10">
        <f t="shared" si="44"/>
        <v>-2.4999999999998665E-3</v>
      </c>
      <c r="D717" s="11">
        <f t="shared" si="45"/>
        <v>1.0645799999999905</v>
      </c>
      <c r="E717" s="13">
        <v>71.400000000000006</v>
      </c>
      <c r="F717" s="14">
        <v>0.88688</v>
      </c>
      <c r="G717" s="10">
        <f t="shared" si="46"/>
        <v>-2.4999999999998665E-3</v>
      </c>
      <c r="H717" s="11">
        <f t="shared" si="47"/>
        <v>1.0653799999999904</v>
      </c>
    </row>
    <row r="718" spans="1:8" ht="13.8" thickBot="1">
      <c r="A718" s="13">
        <v>71.5</v>
      </c>
      <c r="B718" s="14">
        <v>0.88583000000000001</v>
      </c>
      <c r="C718" s="10">
        <f t="shared" si="44"/>
        <v>-2.4999999999998665E-3</v>
      </c>
      <c r="D718" s="11">
        <f t="shared" si="45"/>
        <v>1.0645799999999903</v>
      </c>
      <c r="E718" s="13">
        <v>71.5</v>
      </c>
      <c r="F718" s="14">
        <v>0.88663000000000003</v>
      </c>
      <c r="G718" s="10">
        <f t="shared" si="46"/>
        <v>-2.5000000000009767E-3</v>
      </c>
      <c r="H718" s="11">
        <f t="shared" si="47"/>
        <v>1.0653800000000699</v>
      </c>
    </row>
    <row r="719" spans="1:8" ht="13.8" thickBot="1">
      <c r="A719" s="13">
        <v>71.599999999999994</v>
      </c>
      <c r="B719" s="14">
        <v>0.88558000000000003</v>
      </c>
      <c r="C719" s="10">
        <f t="shared" si="44"/>
        <v>-2.5000000000006215E-3</v>
      </c>
      <c r="D719" s="11">
        <f t="shared" si="45"/>
        <v>1.0645800000000445</v>
      </c>
      <c r="E719" s="13">
        <v>71.599999999999994</v>
      </c>
      <c r="F719" s="14">
        <v>0.88637999999999995</v>
      </c>
      <c r="G719" s="10">
        <f t="shared" si="46"/>
        <v>-2.4999999999995113E-3</v>
      </c>
      <c r="H719" s="11">
        <f t="shared" si="47"/>
        <v>1.0653799999999651</v>
      </c>
    </row>
    <row r="720" spans="1:8" ht="13.8" thickBot="1">
      <c r="A720" s="13">
        <v>71.7</v>
      </c>
      <c r="B720" s="14">
        <v>0.88532999999999995</v>
      </c>
      <c r="C720" s="10">
        <f t="shared" si="44"/>
        <v>-2.599999999999417E-3</v>
      </c>
      <c r="D720" s="11">
        <f t="shared" si="45"/>
        <v>1.0717499999999582</v>
      </c>
      <c r="E720" s="13">
        <v>71.7</v>
      </c>
      <c r="F720" s="14">
        <v>0.88612999999999997</v>
      </c>
      <c r="G720" s="10">
        <f t="shared" si="46"/>
        <v>-2.599999999999417E-3</v>
      </c>
      <c r="H720" s="11">
        <f t="shared" si="47"/>
        <v>1.0725499999999581</v>
      </c>
    </row>
    <row r="721" spans="1:8" ht="13.8" thickBot="1">
      <c r="A721" s="13">
        <v>71.8</v>
      </c>
      <c r="B721" s="14">
        <v>0.88507000000000002</v>
      </c>
      <c r="C721" s="10">
        <f t="shared" si="44"/>
        <v>-2.4999999999995117E-3</v>
      </c>
      <c r="D721" s="11">
        <f t="shared" si="45"/>
        <v>1.0645699999999649</v>
      </c>
      <c r="E721" s="13">
        <v>71.8</v>
      </c>
      <c r="F721" s="14">
        <v>0.88587000000000005</v>
      </c>
      <c r="G721" s="10">
        <f t="shared" si="46"/>
        <v>-2.5000000000006215E-3</v>
      </c>
      <c r="H721" s="11">
        <f t="shared" si="47"/>
        <v>1.0653700000000446</v>
      </c>
    </row>
    <row r="722" spans="1:8" ht="13.8" thickBot="1">
      <c r="A722" s="13">
        <v>71.900000000000006</v>
      </c>
      <c r="B722" s="14">
        <v>0.88482000000000005</v>
      </c>
      <c r="C722" s="10">
        <f t="shared" si="44"/>
        <v>-2.5000000000009767E-3</v>
      </c>
      <c r="D722" s="11">
        <f t="shared" si="45"/>
        <v>1.0645700000000704</v>
      </c>
      <c r="E722" s="13">
        <v>71.900000000000006</v>
      </c>
      <c r="F722" s="14">
        <v>0.88561999999999996</v>
      </c>
      <c r="G722" s="10">
        <f t="shared" si="46"/>
        <v>-2.4999999999998665E-3</v>
      </c>
      <c r="H722" s="11">
        <f t="shared" si="47"/>
        <v>1.0653699999999904</v>
      </c>
    </row>
    <row r="723" spans="1:8" ht="13.8" thickBot="1">
      <c r="A723" s="8">
        <v>72</v>
      </c>
      <c r="B723" s="17">
        <v>0.88456999999999997</v>
      </c>
      <c r="C723" s="10">
        <f t="shared" si="44"/>
        <v>-2.4999999999998665E-3</v>
      </c>
      <c r="D723" s="11">
        <f t="shared" si="45"/>
        <v>1.0645699999999902</v>
      </c>
      <c r="E723" s="8">
        <v>72</v>
      </c>
      <c r="F723" s="17">
        <v>0.88536999999999999</v>
      </c>
      <c r="G723" s="10">
        <f t="shared" si="46"/>
        <v>-2.4999999999998665E-3</v>
      </c>
      <c r="H723" s="11">
        <f t="shared" si="47"/>
        <v>1.0653699999999904</v>
      </c>
    </row>
    <row r="724" spans="1:8" ht="13.8" thickBot="1">
      <c r="A724" s="13">
        <v>72.099999999999994</v>
      </c>
      <c r="B724" s="14">
        <v>0.88431999999999999</v>
      </c>
      <c r="C724" s="10">
        <f t="shared" si="44"/>
        <v>-2.6000000000001577E-3</v>
      </c>
      <c r="D724" s="11">
        <f t="shared" si="45"/>
        <v>1.0717800000000115</v>
      </c>
      <c r="E724" s="13">
        <v>72.099999999999994</v>
      </c>
      <c r="F724" s="14">
        <v>0.88512000000000002</v>
      </c>
      <c r="G724" s="10">
        <f t="shared" si="46"/>
        <v>-2.6000000000001577E-3</v>
      </c>
      <c r="H724" s="11">
        <f t="shared" si="47"/>
        <v>1.0725800000000114</v>
      </c>
    </row>
    <row r="725" spans="1:8" ht="13.8" thickBot="1">
      <c r="A725" s="13">
        <v>72.2</v>
      </c>
      <c r="B725" s="14">
        <v>0.88405999999999996</v>
      </c>
      <c r="C725" s="10">
        <f t="shared" si="44"/>
        <v>-2.4999999999998665E-3</v>
      </c>
      <c r="D725" s="11">
        <f t="shared" si="45"/>
        <v>1.0645599999999902</v>
      </c>
      <c r="E725" s="13">
        <v>72.2</v>
      </c>
      <c r="F725" s="14">
        <v>0.88485999999999998</v>
      </c>
      <c r="G725" s="10">
        <f t="shared" si="46"/>
        <v>-2.4999999999998665E-3</v>
      </c>
      <c r="H725" s="11">
        <f t="shared" si="47"/>
        <v>1.0653599999999903</v>
      </c>
    </row>
    <row r="726" spans="1:8" ht="13.8" thickBot="1">
      <c r="A726" s="13">
        <v>72.3</v>
      </c>
      <c r="B726" s="14">
        <v>0.88380999999999998</v>
      </c>
      <c r="C726" s="10">
        <f t="shared" si="44"/>
        <v>-2.4999999999995117E-3</v>
      </c>
      <c r="D726" s="11">
        <f t="shared" si="45"/>
        <v>1.0645599999999646</v>
      </c>
      <c r="E726" s="13">
        <v>72.3</v>
      </c>
      <c r="F726" s="14">
        <v>0.88461000000000001</v>
      </c>
      <c r="G726" s="10">
        <f t="shared" si="46"/>
        <v>-2.4999999999995113E-3</v>
      </c>
      <c r="H726" s="11">
        <f t="shared" si="47"/>
        <v>1.0653599999999646</v>
      </c>
    </row>
    <row r="727" spans="1:8" ht="13.8" thickBot="1">
      <c r="A727" s="13">
        <v>72.400000000000006</v>
      </c>
      <c r="B727" s="14">
        <v>0.88356000000000001</v>
      </c>
      <c r="C727" s="10">
        <f t="shared" si="44"/>
        <v>-2.6000000000005272E-3</v>
      </c>
      <c r="D727" s="11">
        <f t="shared" si="45"/>
        <v>1.0718000000000381</v>
      </c>
      <c r="E727" s="13">
        <v>72.400000000000006</v>
      </c>
      <c r="F727" s="14">
        <v>0.88436000000000003</v>
      </c>
      <c r="G727" s="10">
        <f t="shared" si="46"/>
        <v>-2.6000000000005272E-3</v>
      </c>
      <c r="H727" s="11">
        <f t="shared" si="47"/>
        <v>1.0726000000000382</v>
      </c>
    </row>
    <row r="728" spans="1:8" ht="13.8" thickBot="1">
      <c r="A728" s="13">
        <v>72.5</v>
      </c>
      <c r="B728" s="14">
        <v>0.88329999999999997</v>
      </c>
      <c r="C728" s="10">
        <f t="shared" si="44"/>
        <v>-2.4999999999998665E-3</v>
      </c>
      <c r="D728" s="11">
        <f t="shared" si="45"/>
        <v>1.0645499999999903</v>
      </c>
      <c r="E728" s="13">
        <v>72.5</v>
      </c>
      <c r="F728" s="14">
        <v>0.8841</v>
      </c>
      <c r="G728" s="10">
        <f t="shared" si="46"/>
        <v>-2.4999999999998665E-3</v>
      </c>
      <c r="H728" s="11">
        <f t="shared" si="47"/>
        <v>1.0653499999999902</v>
      </c>
    </row>
    <row r="729" spans="1:8" ht="13.8" thickBot="1">
      <c r="A729" s="13">
        <v>72.599999999999994</v>
      </c>
      <c r="B729" s="14">
        <v>0.88305</v>
      </c>
      <c r="C729" s="10">
        <f t="shared" si="44"/>
        <v>-2.4999999999995117E-3</v>
      </c>
      <c r="D729" s="11">
        <f t="shared" si="45"/>
        <v>1.0645499999999646</v>
      </c>
      <c r="E729" s="13">
        <v>72.599999999999994</v>
      </c>
      <c r="F729" s="14">
        <v>0.88385000000000002</v>
      </c>
      <c r="G729" s="10">
        <f t="shared" si="46"/>
        <v>-2.4999999999995113E-3</v>
      </c>
      <c r="H729" s="11">
        <f t="shared" si="47"/>
        <v>1.0653499999999645</v>
      </c>
    </row>
    <row r="730" spans="1:8" ht="13.8" thickBot="1">
      <c r="A730" s="13">
        <v>72.7</v>
      </c>
      <c r="B730" s="14">
        <v>0.88280000000000003</v>
      </c>
      <c r="C730" s="10">
        <f t="shared" si="44"/>
        <v>-2.6000000000005272E-3</v>
      </c>
      <c r="D730" s="11">
        <f t="shared" si="45"/>
        <v>1.0718200000000384</v>
      </c>
      <c r="E730" s="13">
        <v>72.7</v>
      </c>
      <c r="F730" s="14">
        <v>0.88360000000000005</v>
      </c>
      <c r="G730" s="10">
        <f t="shared" si="46"/>
        <v>-2.6000000000005272E-3</v>
      </c>
      <c r="H730" s="11">
        <f t="shared" si="47"/>
        <v>1.0726200000000383</v>
      </c>
    </row>
    <row r="731" spans="1:8" ht="13.8" thickBot="1">
      <c r="A731" s="13">
        <v>72.8</v>
      </c>
      <c r="B731" s="14">
        <v>0.88253999999999999</v>
      </c>
      <c r="C731" s="10">
        <f t="shared" si="44"/>
        <v>-2.4999999999995113E-3</v>
      </c>
      <c r="D731" s="11">
        <f t="shared" si="45"/>
        <v>1.0645399999999643</v>
      </c>
      <c r="E731" s="13">
        <v>72.8</v>
      </c>
      <c r="F731" s="14">
        <v>0.88334000000000001</v>
      </c>
      <c r="G731" s="10">
        <f t="shared" si="46"/>
        <v>-2.6000000000001577E-3</v>
      </c>
      <c r="H731" s="11">
        <f t="shared" si="47"/>
        <v>1.0726200000000115</v>
      </c>
    </row>
    <row r="732" spans="1:8" ht="13.8" thickBot="1">
      <c r="A732" s="13">
        <v>72.900000000000006</v>
      </c>
      <c r="B732" s="14">
        <v>0.88229000000000002</v>
      </c>
      <c r="C732" s="10">
        <f t="shared" si="44"/>
        <v>-2.6000000000005272E-3</v>
      </c>
      <c r="D732" s="11">
        <f t="shared" si="45"/>
        <v>1.0718300000000385</v>
      </c>
      <c r="E732" s="13">
        <v>72.900000000000006</v>
      </c>
      <c r="F732" s="14">
        <v>0.88307999999999998</v>
      </c>
      <c r="G732" s="10">
        <f t="shared" si="46"/>
        <v>-2.599999999999417E-3</v>
      </c>
      <c r="H732" s="11">
        <f t="shared" si="47"/>
        <v>1.0726199999999575</v>
      </c>
    </row>
    <row r="733" spans="1:8" ht="13.8" thickBot="1">
      <c r="A733" s="8">
        <v>73</v>
      </c>
      <c r="B733" s="17">
        <v>0.88202999999999998</v>
      </c>
      <c r="C733" s="10">
        <f t="shared" si="44"/>
        <v>-2.4999999999998665E-3</v>
      </c>
      <c r="D733" s="11">
        <f t="shared" si="45"/>
        <v>1.0645299999999902</v>
      </c>
      <c r="E733" s="8">
        <v>73</v>
      </c>
      <c r="F733" s="17">
        <v>0.88282000000000005</v>
      </c>
      <c r="G733" s="10">
        <f t="shared" si="46"/>
        <v>-2.5000000000009767E-3</v>
      </c>
      <c r="H733" s="11">
        <f t="shared" si="47"/>
        <v>1.0653200000000713</v>
      </c>
    </row>
    <row r="734" spans="1:8" ht="13.8" thickBot="1">
      <c r="A734" s="13">
        <v>73.099999999999994</v>
      </c>
      <c r="B734" s="14">
        <v>0.88178000000000001</v>
      </c>
      <c r="C734" s="10">
        <f t="shared" si="44"/>
        <v>-2.6000000000001577E-3</v>
      </c>
      <c r="D734" s="11">
        <f t="shared" si="45"/>
        <v>1.0718400000000117</v>
      </c>
      <c r="E734" s="13">
        <v>73.099999999999994</v>
      </c>
      <c r="F734" s="14">
        <v>0.88256999999999997</v>
      </c>
      <c r="G734" s="10">
        <f t="shared" si="46"/>
        <v>-2.599999999999048E-3</v>
      </c>
      <c r="H734" s="11">
        <f t="shared" si="47"/>
        <v>1.0726299999999305</v>
      </c>
    </row>
    <row r="735" spans="1:8" ht="13.8" thickBot="1">
      <c r="A735" s="13">
        <v>73.2</v>
      </c>
      <c r="B735" s="14">
        <v>0.88151999999999997</v>
      </c>
      <c r="C735" s="10">
        <f t="shared" si="44"/>
        <v>-2.599999999999417E-3</v>
      </c>
      <c r="D735" s="11">
        <f t="shared" si="45"/>
        <v>1.0718399999999573</v>
      </c>
      <c r="E735" s="13">
        <v>73.2</v>
      </c>
      <c r="F735" s="14">
        <v>0.88231000000000004</v>
      </c>
      <c r="G735" s="10">
        <f t="shared" si="46"/>
        <v>-2.6000000000005272E-3</v>
      </c>
      <c r="H735" s="11">
        <f t="shared" si="47"/>
        <v>1.0726300000000386</v>
      </c>
    </row>
    <row r="736" spans="1:8" ht="13.8" thickBot="1">
      <c r="A736" s="13">
        <v>73.3</v>
      </c>
      <c r="B736" s="14">
        <v>0.88126000000000004</v>
      </c>
      <c r="C736" s="10">
        <f t="shared" si="44"/>
        <v>-2.5000000000006215E-3</v>
      </c>
      <c r="D736" s="11">
        <f t="shared" si="45"/>
        <v>1.0645100000000456</v>
      </c>
      <c r="E736" s="13">
        <v>73.3</v>
      </c>
      <c r="F736" s="14">
        <v>0.88205</v>
      </c>
      <c r="G736" s="10">
        <f t="shared" si="46"/>
        <v>-2.4999999999995117E-3</v>
      </c>
      <c r="H736" s="11">
        <f t="shared" si="47"/>
        <v>1.0652999999999642</v>
      </c>
    </row>
    <row r="737" spans="1:8" ht="13.8" thickBot="1">
      <c r="A737" s="13">
        <v>73.400000000000006</v>
      </c>
      <c r="B737" s="14">
        <v>0.88100999999999996</v>
      </c>
      <c r="C737" s="10">
        <f t="shared" si="44"/>
        <v>-2.599999999999417E-3</v>
      </c>
      <c r="D737" s="11">
        <f t="shared" si="45"/>
        <v>1.0718499999999571</v>
      </c>
      <c r="E737" s="13">
        <v>73.400000000000006</v>
      </c>
      <c r="F737" s="14">
        <v>0.88180000000000003</v>
      </c>
      <c r="G737" s="10">
        <f t="shared" si="46"/>
        <v>-2.6000000000005272E-3</v>
      </c>
      <c r="H737" s="11">
        <f t="shared" si="47"/>
        <v>1.0726400000000387</v>
      </c>
    </row>
    <row r="738" spans="1:8" ht="13.8" thickBot="1">
      <c r="A738" s="13">
        <v>73.5</v>
      </c>
      <c r="B738" s="14">
        <v>0.88075000000000003</v>
      </c>
      <c r="C738" s="10">
        <f t="shared" si="44"/>
        <v>-2.6000000000005272E-3</v>
      </c>
      <c r="D738" s="11">
        <f t="shared" si="45"/>
        <v>1.0718500000000386</v>
      </c>
      <c r="E738" s="13">
        <v>73.5</v>
      </c>
      <c r="F738" s="14">
        <v>0.88153999999999999</v>
      </c>
      <c r="G738" s="10">
        <f t="shared" si="46"/>
        <v>-2.6000000000005272E-3</v>
      </c>
      <c r="H738" s="11">
        <f t="shared" si="47"/>
        <v>1.0726400000000389</v>
      </c>
    </row>
    <row r="739" spans="1:8" ht="13.8" thickBot="1">
      <c r="A739" s="13">
        <v>73.599999999999994</v>
      </c>
      <c r="B739" s="14">
        <v>0.88048999999999999</v>
      </c>
      <c r="C739" s="10">
        <f t="shared" si="44"/>
        <v>-2.4999999999995113E-3</v>
      </c>
      <c r="D739" s="11">
        <f t="shared" si="45"/>
        <v>1.0644899999999642</v>
      </c>
      <c r="E739" s="13">
        <v>73.599999999999994</v>
      </c>
      <c r="F739" s="14">
        <v>0.88127999999999995</v>
      </c>
      <c r="G739" s="10">
        <f t="shared" si="46"/>
        <v>-2.4999999999995117E-3</v>
      </c>
      <c r="H739" s="11">
        <f t="shared" si="47"/>
        <v>1.065279999999964</v>
      </c>
    </row>
    <row r="740" spans="1:8" ht="13.8" thickBot="1">
      <c r="A740" s="13">
        <v>73.7</v>
      </c>
      <c r="B740" s="14">
        <v>0.88024000000000002</v>
      </c>
      <c r="C740" s="10">
        <f t="shared" si="44"/>
        <v>-2.6000000000005272E-3</v>
      </c>
      <c r="D740" s="11">
        <f t="shared" si="45"/>
        <v>1.0718600000000389</v>
      </c>
      <c r="E740" s="13">
        <v>73.7</v>
      </c>
      <c r="F740" s="14">
        <v>0.88102999999999998</v>
      </c>
      <c r="G740" s="10">
        <f t="shared" si="46"/>
        <v>-2.599999999999417E-3</v>
      </c>
      <c r="H740" s="11">
        <f t="shared" si="47"/>
        <v>1.072649999999957</v>
      </c>
    </row>
    <row r="741" spans="1:8" ht="13.8" thickBot="1">
      <c r="A741" s="13">
        <v>73.8</v>
      </c>
      <c r="B741" s="14">
        <v>0.87997999999999998</v>
      </c>
      <c r="C741" s="10">
        <f t="shared" si="44"/>
        <v>-2.6000000000001577E-3</v>
      </c>
      <c r="D741" s="11">
        <f t="shared" si="45"/>
        <v>1.0718600000000116</v>
      </c>
      <c r="E741" s="13">
        <v>73.8</v>
      </c>
      <c r="F741" s="14">
        <v>0.88077000000000005</v>
      </c>
      <c r="G741" s="10">
        <f t="shared" si="46"/>
        <v>-2.6000000000001577E-3</v>
      </c>
      <c r="H741" s="11">
        <f t="shared" si="47"/>
        <v>1.0726500000000116</v>
      </c>
    </row>
    <row r="742" spans="1:8" ht="13.8" thickBot="1">
      <c r="A742" s="13">
        <v>73.900000000000006</v>
      </c>
      <c r="B742" s="14">
        <v>0.87971999999999995</v>
      </c>
      <c r="C742" s="10">
        <f t="shared" si="44"/>
        <v>-2.599999999999417E-3</v>
      </c>
      <c r="D742" s="11">
        <f t="shared" si="45"/>
        <v>1.071859999999957</v>
      </c>
      <c r="E742" s="13">
        <v>73.900000000000006</v>
      </c>
      <c r="F742" s="14">
        <v>0.88051000000000001</v>
      </c>
      <c r="G742" s="10">
        <f t="shared" si="46"/>
        <v>-2.6000000000005272E-3</v>
      </c>
      <c r="H742" s="11">
        <f t="shared" si="47"/>
        <v>1.072650000000039</v>
      </c>
    </row>
    <row r="743" spans="1:8" ht="13.8" thickBot="1">
      <c r="A743" s="8">
        <v>74</v>
      </c>
      <c r="B743" s="17">
        <v>0.87946000000000002</v>
      </c>
      <c r="C743" s="10">
        <f t="shared" si="44"/>
        <v>-2.4999999999998665E-3</v>
      </c>
      <c r="D743" s="11">
        <f t="shared" si="45"/>
        <v>1.0644599999999902</v>
      </c>
      <c r="E743" s="8">
        <v>74</v>
      </c>
      <c r="F743" s="17">
        <v>0.88024999999999998</v>
      </c>
      <c r="G743" s="10">
        <f t="shared" si="46"/>
        <v>-2.4999999999998665E-3</v>
      </c>
      <c r="H743" s="11">
        <f t="shared" si="47"/>
        <v>1.06524999999999</v>
      </c>
    </row>
    <row r="744" spans="1:8" ht="13.8" thickBot="1">
      <c r="A744" s="13">
        <v>74.099999999999994</v>
      </c>
      <c r="B744" s="14">
        <v>0.87921000000000005</v>
      </c>
      <c r="C744" s="10">
        <f t="shared" si="44"/>
        <v>-2.6000000000001577E-3</v>
      </c>
      <c r="D744" s="11">
        <f t="shared" si="45"/>
        <v>1.0718700000000119</v>
      </c>
      <c r="E744" s="13">
        <v>74.099999999999994</v>
      </c>
      <c r="F744" s="14">
        <v>0.88</v>
      </c>
      <c r="G744" s="10">
        <f t="shared" si="46"/>
        <v>-2.6000000000001577E-3</v>
      </c>
      <c r="H744" s="11">
        <f t="shared" si="47"/>
        <v>1.0726600000000117</v>
      </c>
    </row>
    <row r="745" spans="1:8" ht="13.8" thickBot="1">
      <c r="A745" s="13">
        <v>74.2</v>
      </c>
      <c r="B745" s="14">
        <v>0.87895000000000001</v>
      </c>
      <c r="C745" s="10">
        <f t="shared" si="44"/>
        <v>-2.6000000000005272E-3</v>
      </c>
      <c r="D745" s="11">
        <f t="shared" si="45"/>
        <v>1.0718700000000392</v>
      </c>
      <c r="E745" s="13">
        <v>74.2</v>
      </c>
      <c r="F745" s="14">
        <v>0.87973999999999997</v>
      </c>
      <c r="G745" s="10">
        <f t="shared" si="46"/>
        <v>-2.599999999999417E-3</v>
      </c>
      <c r="H745" s="11">
        <f t="shared" si="47"/>
        <v>1.0726599999999566</v>
      </c>
    </row>
    <row r="746" spans="1:8" ht="13.8" thickBot="1">
      <c r="A746" s="13">
        <v>74.3</v>
      </c>
      <c r="B746" s="14">
        <v>0.87868999999999997</v>
      </c>
      <c r="C746" s="10">
        <f t="shared" si="44"/>
        <v>-2.599999999999048E-3</v>
      </c>
      <c r="D746" s="11">
        <f t="shared" si="45"/>
        <v>1.0718699999999293</v>
      </c>
      <c r="E746" s="13">
        <v>74.3</v>
      </c>
      <c r="F746" s="14">
        <v>0.87948000000000004</v>
      </c>
      <c r="G746" s="10">
        <f t="shared" si="46"/>
        <v>-2.6000000000001577E-3</v>
      </c>
      <c r="H746" s="11">
        <f t="shared" si="47"/>
        <v>1.0726600000000117</v>
      </c>
    </row>
    <row r="747" spans="1:8" ht="13.8" thickBot="1">
      <c r="A747" s="13">
        <v>74.400000000000006</v>
      </c>
      <c r="B747" s="14">
        <v>0.87843000000000004</v>
      </c>
      <c r="C747" s="10">
        <f t="shared" si="44"/>
        <v>-2.6000000000005272E-3</v>
      </c>
      <c r="D747" s="11">
        <f t="shared" si="45"/>
        <v>1.0718700000000394</v>
      </c>
      <c r="E747" s="13">
        <v>74.400000000000006</v>
      </c>
      <c r="F747" s="14">
        <v>0.87922</v>
      </c>
      <c r="G747" s="10">
        <f t="shared" si="46"/>
        <v>-2.6000000000005272E-3</v>
      </c>
      <c r="H747" s="11">
        <f t="shared" si="47"/>
        <v>1.0726600000000392</v>
      </c>
    </row>
    <row r="748" spans="1:8" ht="13.8" thickBot="1">
      <c r="A748" s="13">
        <v>74.5</v>
      </c>
      <c r="B748" s="14">
        <v>0.87817000000000001</v>
      </c>
      <c r="C748" s="10">
        <f t="shared" si="44"/>
        <v>-2.6000000000005272E-3</v>
      </c>
      <c r="D748" s="11">
        <f t="shared" si="45"/>
        <v>1.0718700000000392</v>
      </c>
      <c r="E748" s="13">
        <v>74.5</v>
      </c>
      <c r="F748" s="14">
        <v>0.87895999999999996</v>
      </c>
      <c r="G748" s="10">
        <f t="shared" si="46"/>
        <v>-2.599999999999417E-3</v>
      </c>
      <c r="H748" s="11">
        <f t="shared" si="47"/>
        <v>1.0726599999999564</v>
      </c>
    </row>
    <row r="749" spans="1:8" ht="13.8" thickBot="1">
      <c r="A749" s="13">
        <v>74.599999999999994</v>
      </c>
      <c r="B749" s="14">
        <v>0.87790999999999997</v>
      </c>
      <c r="C749" s="10">
        <f t="shared" si="44"/>
        <v>-2.599999999999048E-3</v>
      </c>
      <c r="D749" s="11">
        <f t="shared" si="45"/>
        <v>1.071869999999929</v>
      </c>
      <c r="E749" s="13">
        <v>74.599999999999994</v>
      </c>
      <c r="F749" s="14">
        <v>0.87870000000000004</v>
      </c>
      <c r="G749" s="10">
        <f t="shared" si="46"/>
        <v>-2.6000000000001577E-3</v>
      </c>
      <c r="H749" s="11">
        <f t="shared" si="47"/>
        <v>1.0726600000000119</v>
      </c>
    </row>
    <row r="750" spans="1:8" ht="13.8" thickBot="1">
      <c r="A750" s="13">
        <v>74.7</v>
      </c>
      <c r="B750" s="14">
        <v>0.87765000000000004</v>
      </c>
      <c r="C750" s="10">
        <f t="shared" si="44"/>
        <v>-2.6000000000005272E-3</v>
      </c>
      <c r="D750" s="11">
        <f t="shared" si="45"/>
        <v>1.0718700000000394</v>
      </c>
      <c r="E750" s="13">
        <v>74.7</v>
      </c>
      <c r="F750" s="14">
        <v>0.87844</v>
      </c>
      <c r="G750" s="10">
        <f t="shared" si="46"/>
        <v>-2.6000000000005272E-3</v>
      </c>
      <c r="H750" s="11">
        <f t="shared" si="47"/>
        <v>1.0726600000000392</v>
      </c>
    </row>
    <row r="751" spans="1:8" ht="13.8" thickBot="1">
      <c r="A751" s="13">
        <v>74.8</v>
      </c>
      <c r="B751" s="14">
        <v>0.87739</v>
      </c>
      <c r="C751" s="10">
        <f t="shared" si="44"/>
        <v>-2.6000000000001577E-3</v>
      </c>
      <c r="D751" s="11">
        <f t="shared" si="45"/>
        <v>1.0718700000000116</v>
      </c>
      <c r="E751" s="13">
        <v>74.8</v>
      </c>
      <c r="F751" s="14">
        <v>0.87817999999999996</v>
      </c>
      <c r="G751" s="10">
        <f t="shared" si="46"/>
        <v>-2.599999999999048E-3</v>
      </c>
      <c r="H751" s="11">
        <f t="shared" si="47"/>
        <v>1.0726599999999287</v>
      </c>
    </row>
    <row r="752" spans="1:8" ht="13.8" thickBot="1">
      <c r="A752" s="13">
        <v>74.900000000000006</v>
      </c>
      <c r="B752" s="14">
        <v>0.87712999999999997</v>
      </c>
      <c r="C752" s="10">
        <f t="shared" si="44"/>
        <v>-2.599999999999417E-3</v>
      </c>
      <c r="D752" s="11">
        <f t="shared" si="45"/>
        <v>1.0718699999999564</v>
      </c>
      <c r="E752" s="13">
        <v>74.900000000000006</v>
      </c>
      <c r="F752" s="14">
        <v>0.87792000000000003</v>
      </c>
      <c r="G752" s="10">
        <f t="shared" si="46"/>
        <v>-2.6000000000005272E-3</v>
      </c>
      <c r="H752" s="11">
        <f t="shared" si="47"/>
        <v>1.0726600000000395</v>
      </c>
    </row>
    <row r="753" spans="1:8" ht="13.8" thickBot="1">
      <c r="A753" s="8">
        <v>75</v>
      </c>
      <c r="B753" s="17">
        <v>0.87687000000000004</v>
      </c>
      <c r="C753" s="10">
        <f t="shared" si="44"/>
        <v>-2.6000000000005272E-3</v>
      </c>
      <c r="D753" s="11">
        <f t="shared" si="45"/>
        <v>1.0718700000000396</v>
      </c>
      <c r="E753" s="8">
        <v>75</v>
      </c>
      <c r="F753" s="17">
        <v>0.87766</v>
      </c>
      <c r="G753" s="10">
        <f t="shared" si="46"/>
        <v>-2.6000000000005272E-3</v>
      </c>
      <c r="H753" s="11">
        <f t="shared" si="47"/>
        <v>1.0726600000000395</v>
      </c>
    </row>
    <row r="754" spans="1:8" ht="13.8" thickBot="1">
      <c r="A754" s="13">
        <v>75.099999999999994</v>
      </c>
      <c r="B754" s="14">
        <v>0.87661</v>
      </c>
      <c r="C754" s="10">
        <f t="shared" si="44"/>
        <v>-2.6000000000001577E-3</v>
      </c>
      <c r="D754" s="11">
        <f t="shared" si="45"/>
        <v>1.0718700000000119</v>
      </c>
      <c r="E754" s="13">
        <v>75.099999999999994</v>
      </c>
      <c r="F754" s="14">
        <v>0.87739999999999996</v>
      </c>
      <c r="G754" s="10">
        <f t="shared" si="46"/>
        <v>-2.599999999999048E-3</v>
      </c>
      <c r="H754" s="11">
        <f t="shared" si="47"/>
        <v>1.0726599999999284</v>
      </c>
    </row>
    <row r="755" spans="1:8" ht="13.8" thickBot="1">
      <c r="A755" s="13">
        <v>75.2</v>
      </c>
      <c r="B755" s="14">
        <v>0.87634999999999996</v>
      </c>
      <c r="C755" s="10">
        <f t="shared" si="44"/>
        <v>-2.7000000000000778E-3</v>
      </c>
      <c r="D755" s="11">
        <f t="shared" si="45"/>
        <v>1.0793900000000058</v>
      </c>
      <c r="E755" s="13">
        <v>75.2</v>
      </c>
      <c r="F755" s="14">
        <v>0.87714000000000003</v>
      </c>
      <c r="G755" s="10">
        <f t="shared" si="46"/>
        <v>-2.7000000000000778E-3</v>
      </c>
      <c r="H755" s="11">
        <f t="shared" si="47"/>
        <v>1.0801800000000059</v>
      </c>
    </row>
    <row r="756" spans="1:8" ht="13.8" thickBot="1">
      <c r="A756" s="13">
        <v>75.3</v>
      </c>
      <c r="B756" s="14">
        <v>0.87607999999999997</v>
      </c>
      <c r="C756" s="10">
        <f t="shared" si="44"/>
        <v>-2.599999999999048E-3</v>
      </c>
      <c r="D756" s="11">
        <f t="shared" si="45"/>
        <v>1.0718599999999283</v>
      </c>
      <c r="E756" s="13">
        <v>75.3</v>
      </c>
      <c r="F756" s="14">
        <v>0.87687000000000004</v>
      </c>
      <c r="G756" s="10">
        <f t="shared" si="46"/>
        <v>-2.6000000000001577E-3</v>
      </c>
      <c r="H756" s="11">
        <f t="shared" si="47"/>
        <v>1.0726500000000119</v>
      </c>
    </row>
    <row r="757" spans="1:8" ht="13.8" thickBot="1">
      <c r="A757" s="13">
        <v>75.400000000000006</v>
      </c>
      <c r="B757" s="14">
        <v>0.87582000000000004</v>
      </c>
      <c r="C757" s="10">
        <f t="shared" si="44"/>
        <v>-2.6000000000005272E-3</v>
      </c>
      <c r="D757" s="11">
        <f t="shared" si="45"/>
        <v>1.0718600000000398</v>
      </c>
      <c r="E757" s="13">
        <v>75.400000000000006</v>
      </c>
      <c r="F757" s="14">
        <v>0.87661</v>
      </c>
      <c r="G757" s="10">
        <f t="shared" si="46"/>
        <v>-2.6000000000005272E-3</v>
      </c>
      <c r="H757" s="11">
        <f t="shared" si="47"/>
        <v>1.0726500000000396</v>
      </c>
    </row>
    <row r="758" spans="1:8" ht="13.8" thickBot="1">
      <c r="A758" s="13">
        <v>75.5</v>
      </c>
      <c r="B758" s="14">
        <v>0.87556</v>
      </c>
      <c r="C758" s="10">
        <f t="shared" si="44"/>
        <v>-2.6000000000005272E-3</v>
      </c>
      <c r="D758" s="11">
        <f t="shared" si="45"/>
        <v>1.0718600000000398</v>
      </c>
      <c r="E758" s="13">
        <v>75.5</v>
      </c>
      <c r="F758" s="14">
        <v>0.87634999999999996</v>
      </c>
      <c r="G758" s="10">
        <f t="shared" si="46"/>
        <v>-2.599999999999417E-3</v>
      </c>
      <c r="H758" s="11">
        <f t="shared" si="47"/>
        <v>1.0726499999999559</v>
      </c>
    </row>
    <row r="759" spans="1:8" ht="13.8" thickBot="1">
      <c r="A759" s="13">
        <v>75.599999999999994</v>
      </c>
      <c r="B759" s="14">
        <v>0.87529999999999997</v>
      </c>
      <c r="C759" s="10">
        <f t="shared" si="44"/>
        <v>-2.6999999999996944E-3</v>
      </c>
      <c r="D759" s="11">
        <f t="shared" si="45"/>
        <v>1.079419999999977</v>
      </c>
      <c r="E759" s="13">
        <v>75.599999999999994</v>
      </c>
      <c r="F759" s="14">
        <v>0.87609000000000004</v>
      </c>
      <c r="G759" s="10">
        <f t="shared" si="46"/>
        <v>-2.6999999999996944E-3</v>
      </c>
      <c r="H759" s="11">
        <f t="shared" si="47"/>
        <v>1.080209999999977</v>
      </c>
    </row>
    <row r="760" spans="1:8" ht="13.8" thickBot="1">
      <c r="A760" s="13">
        <v>75.7</v>
      </c>
      <c r="B760" s="14">
        <v>0.87502999999999997</v>
      </c>
      <c r="C760" s="10">
        <f t="shared" si="44"/>
        <v>-2.599999999999417E-3</v>
      </c>
      <c r="D760" s="11">
        <f t="shared" si="45"/>
        <v>1.0718499999999558</v>
      </c>
      <c r="E760" s="13">
        <v>75.7</v>
      </c>
      <c r="F760" s="14">
        <v>0.87582000000000004</v>
      </c>
      <c r="G760" s="10">
        <f t="shared" si="46"/>
        <v>-2.6000000000005272E-3</v>
      </c>
      <c r="H760" s="11">
        <f t="shared" si="47"/>
        <v>1.07264000000004</v>
      </c>
    </row>
    <row r="761" spans="1:8" ht="13.8" thickBot="1">
      <c r="A761" s="13">
        <v>75.8</v>
      </c>
      <c r="B761" s="14">
        <v>0.87477000000000005</v>
      </c>
      <c r="C761" s="10">
        <f t="shared" si="44"/>
        <v>-2.6000000000001577E-3</v>
      </c>
      <c r="D761" s="11">
        <f t="shared" si="45"/>
        <v>1.071850000000012</v>
      </c>
      <c r="E761" s="13">
        <v>75.8</v>
      </c>
      <c r="F761" s="14">
        <v>0.87556</v>
      </c>
      <c r="G761" s="10">
        <f t="shared" si="46"/>
        <v>-2.6000000000001577E-3</v>
      </c>
      <c r="H761" s="11">
        <f t="shared" si="47"/>
        <v>1.0726400000000118</v>
      </c>
    </row>
    <row r="762" spans="1:8" ht="13.8" thickBot="1">
      <c r="A762" s="13">
        <v>75.900000000000006</v>
      </c>
      <c r="B762" s="14">
        <v>0.87451000000000001</v>
      </c>
      <c r="C762" s="10">
        <f t="shared" si="44"/>
        <v>-2.7000000000000778E-3</v>
      </c>
      <c r="D762" s="11">
        <f t="shared" si="45"/>
        <v>1.079440000000006</v>
      </c>
      <c r="E762" s="13">
        <v>75.900000000000006</v>
      </c>
      <c r="F762" s="14">
        <v>0.87529999999999997</v>
      </c>
      <c r="G762" s="10">
        <f t="shared" si="46"/>
        <v>-2.7000000000000778E-3</v>
      </c>
      <c r="H762" s="11">
        <f t="shared" si="47"/>
        <v>1.0802300000000058</v>
      </c>
    </row>
    <row r="763" spans="1:8" ht="13.8" thickBot="1">
      <c r="A763" s="8">
        <v>76</v>
      </c>
      <c r="B763" s="17">
        <v>0.87424000000000002</v>
      </c>
      <c r="C763" s="10">
        <f t="shared" si="44"/>
        <v>-2.6000000000005272E-3</v>
      </c>
      <c r="D763" s="11">
        <f t="shared" si="45"/>
        <v>1.0718400000000401</v>
      </c>
      <c r="E763" s="8">
        <v>76</v>
      </c>
      <c r="F763" s="17">
        <v>0.87502999999999997</v>
      </c>
      <c r="G763" s="10">
        <f t="shared" si="46"/>
        <v>-2.599999999999417E-3</v>
      </c>
      <c r="H763" s="11">
        <f t="shared" si="47"/>
        <v>1.0726299999999558</v>
      </c>
    </row>
    <row r="764" spans="1:8" ht="13.8" thickBot="1">
      <c r="A764" s="13">
        <v>76.099999999999994</v>
      </c>
      <c r="B764" s="14">
        <v>0.87397999999999998</v>
      </c>
      <c r="C764" s="10">
        <f t="shared" si="44"/>
        <v>-2.6999999999996944E-3</v>
      </c>
      <c r="D764" s="11">
        <f t="shared" si="45"/>
        <v>1.0794499999999767</v>
      </c>
      <c r="E764" s="13">
        <v>76.099999999999994</v>
      </c>
      <c r="F764" s="14">
        <v>0.87477000000000005</v>
      </c>
      <c r="G764" s="10">
        <f t="shared" si="46"/>
        <v>-2.6999999999996944E-3</v>
      </c>
      <c r="H764" s="11">
        <f t="shared" si="47"/>
        <v>1.0802399999999768</v>
      </c>
    </row>
    <row r="765" spans="1:8" ht="13.8" thickBot="1">
      <c r="A765" s="13">
        <v>76.2</v>
      </c>
      <c r="B765" s="14">
        <v>0.87370999999999999</v>
      </c>
      <c r="C765" s="10">
        <f t="shared" si="44"/>
        <v>-2.6000000000005272E-3</v>
      </c>
      <c r="D765" s="11">
        <f t="shared" si="45"/>
        <v>1.0718300000000403</v>
      </c>
      <c r="E765" s="13">
        <v>76.2</v>
      </c>
      <c r="F765" s="14">
        <v>0.87450000000000006</v>
      </c>
      <c r="G765" s="10">
        <f t="shared" si="46"/>
        <v>-2.6000000000005272E-3</v>
      </c>
      <c r="H765" s="11">
        <f t="shared" si="47"/>
        <v>1.0726200000000403</v>
      </c>
    </row>
    <row r="766" spans="1:8" ht="13.8" thickBot="1">
      <c r="A766" s="13">
        <v>76.3</v>
      </c>
      <c r="B766" s="14">
        <v>0.87344999999999995</v>
      </c>
      <c r="C766" s="10">
        <f t="shared" si="44"/>
        <v>-2.6999999999996944E-3</v>
      </c>
      <c r="D766" s="11">
        <f t="shared" si="45"/>
        <v>1.0794599999999765</v>
      </c>
      <c r="E766" s="13">
        <v>76.3</v>
      </c>
      <c r="F766" s="14">
        <v>0.87424000000000002</v>
      </c>
      <c r="G766" s="10">
        <f t="shared" si="46"/>
        <v>-2.6999999999996944E-3</v>
      </c>
      <c r="H766" s="11">
        <f t="shared" si="47"/>
        <v>1.0802499999999766</v>
      </c>
    </row>
    <row r="767" spans="1:8" ht="13.8" thickBot="1">
      <c r="A767" s="13">
        <v>76.400000000000006</v>
      </c>
      <c r="B767" s="14">
        <v>0.87317999999999996</v>
      </c>
      <c r="C767" s="10">
        <f t="shared" si="44"/>
        <v>-2.599999999999417E-3</v>
      </c>
      <c r="D767" s="11">
        <f t="shared" si="45"/>
        <v>1.0718199999999554</v>
      </c>
      <c r="E767" s="13">
        <v>76.400000000000006</v>
      </c>
      <c r="F767" s="14">
        <v>0.87397000000000002</v>
      </c>
      <c r="G767" s="10">
        <f t="shared" si="46"/>
        <v>-2.6000000000005272E-3</v>
      </c>
      <c r="H767" s="11">
        <f t="shared" si="47"/>
        <v>1.0726100000000403</v>
      </c>
    </row>
    <row r="768" spans="1:8" ht="13.8" thickBot="1">
      <c r="A768" s="13">
        <v>76.5</v>
      </c>
      <c r="B768" s="14">
        <v>0.87292000000000003</v>
      </c>
      <c r="C768" s="10">
        <f t="shared" si="44"/>
        <v>-2.7000000000000778E-3</v>
      </c>
      <c r="D768" s="11">
        <f t="shared" si="45"/>
        <v>1.0794700000000059</v>
      </c>
      <c r="E768" s="13">
        <v>76.5</v>
      </c>
      <c r="F768" s="14">
        <v>0.87370999999999999</v>
      </c>
      <c r="G768" s="10">
        <f t="shared" si="46"/>
        <v>-2.7000000000000778E-3</v>
      </c>
      <c r="H768" s="11">
        <f t="shared" si="47"/>
        <v>1.080260000000006</v>
      </c>
    </row>
    <row r="769" spans="1:8" ht="13.8" thickBot="1">
      <c r="A769" s="13">
        <v>76.599999999999994</v>
      </c>
      <c r="B769" s="14">
        <v>0.87265000000000004</v>
      </c>
      <c r="C769" s="10">
        <f t="shared" si="44"/>
        <v>-2.6999999999996944E-3</v>
      </c>
      <c r="D769" s="11">
        <f t="shared" si="45"/>
        <v>1.0794699999999766</v>
      </c>
      <c r="E769" s="13">
        <v>76.599999999999994</v>
      </c>
      <c r="F769" s="14">
        <v>0.87343999999999999</v>
      </c>
      <c r="G769" s="10">
        <f t="shared" si="46"/>
        <v>-2.6999999999996944E-3</v>
      </c>
      <c r="H769" s="11">
        <f t="shared" si="47"/>
        <v>1.0802599999999767</v>
      </c>
    </row>
    <row r="770" spans="1:8" ht="13.8" thickBot="1">
      <c r="A770" s="13">
        <v>76.7</v>
      </c>
      <c r="B770" s="14">
        <v>0.87238000000000004</v>
      </c>
      <c r="C770" s="10">
        <f t="shared" si="44"/>
        <v>-2.6000000000005272E-3</v>
      </c>
      <c r="D770" s="11">
        <f t="shared" si="45"/>
        <v>1.0718000000000405</v>
      </c>
      <c r="E770" s="13">
        <v>76.7</v>
      </c>
      <c r="F770" s="14">
        <v>0.87317</v>
      </c>
      <c r="G770" s="10">
        <f t="shared" si="46"/>
        <v>-2.6000000000005272E-3</v>
      </c>
      <c r="H770" s="11">
        <f t="shared" si="47"/>
        <v>1.0725900000000406</v>
      </c>
    </row>
    <row r="771" spans="1:8" ht="13.8" thickBot="1">
      <c r="A771" s="13">
        <v>76.8</v>
      </c>
      <c r="B771" s="14">
        <v>0.87212000000000001</v>
      </c>
      <c r="C771" s="10">
        <f t="shared" si="44"/>
        <v>-2.6999999999996944E-3</v>
      </c>
      <c r="D771" s="11">
        <f t="shared" si="45"/>
        <v>1.0794799999999765</v>
      </c>
      <c r="E771" s="13">
        <v>76.8</v>
      </c>
      <c r="F771" s="14">
        <v>0.87290999999999996</v>
      </c>
      <c r="G771" s="10">
        <f t="shared" si="46"/>
        <v>-2.6999999999996944E-3</v>
      </c>
      <c r="H771" s="11">
        <f t="shared" si="47"/>
        <v>1.0802699999999765</v>
      </c>
    </row>
    <row r="772" spans="1:8" ht="13.8" thickBot="1">
      <c r="A772" s="13">
        <v>76.900000000000006</v>
      </c>
      <c r="B772" s="14">
        <v>0.87185000000000001</v>
      </c>
      <c r="C772" s="10">
        <f t="shared" ref="C772:C835" si="48">SLOPE(B772:B773,A772:A773)</f>
        <v>-2.7000000000000778E-3</v>
      </c>
      <c r="D772" s="11">
        <f t="shared" ref="D772:D835" si="49">INTERCEPT(B772:B773,A772:A773)</f>
        <v>1.079480000000006</v>
      </c>
      <c r="E772" s="13">
        <v>76.900000000000006</v>
      </c>
      <c r="F772" s="14">
        <v>0.87263999999999997</v>
      </c>
      <c r="G772" s="10">
        <f t="shared" ref="G772:G835" si="50">SLOPE(F772:F773,E772:E773)</f>
        <v>-2.7000000000000778E-3</v>
      </c>
      <c r="H772" s="11">
        <f t="shared" ref="H772:H835" si="51">INTERCEPT(F772:F773,E772:E773)</f>
        <v>1.0802700000000061</v>
      </c>
    </row>
    <row r="773" spans="1:8" ht="13.8" thickBot="1">
      <c r="A773" s="8">
        <v>77</v>
      </c>
      <c r="B773" s="17">
        <v>0.87158000000000002</v>
      </c>
      <c r="C773" s="10">
        <f t="shared" si="48"/>
        <v>-2.6000000000005272E-3</v>
      </c>
      <c r="D773" s="11">
        <f t="shared" si="49"/>
        <v>1.0717800000000406</v>
      </c>
      <c r="E773" s="8">
        <v>77</v>
      </c>
      <c r="F773" s="17">
        <v>0.87236999999999998</v>
      </c>
      <c r="G773" s="10">
        <f t="shared" si="50"/>
        <v>-2.7000000000000778E-3</v>
      </c>
      <c r="H773" s="11">
        <f t="shared" si="51"/>
        <v>1.0802700000000061</v>
      </c>
    </row>
    <row r="774" spans="1:8" ht="13.8" thickBot="1">
      <c r="A774" s="13">
        <v>77.099999999999994</v>
      </c>
      <c r="B774" s="14">
        <v>0.87131999999999998</v>
      </c>
      <c r="C774" s="10">
        <f t="shared" si="48"/>
        <v>-2.6999999999996944E-3</v>
      </c>
      <c r="D774" s="11">
        <f t="shared" si="49"/>
        <v>1.0794899999999763</v>
      </c>
      <c r="E774" s="13">
        <v>77.099999999999994</v>
      </c>
      <c r="F774" s="14">
        <v>0.87209999999999999</v>
      </c>
      <c r="G774" s="10">
        <f t="shared" si="50"/>
        <v>-2.6999999999996944E-3</v>
      </c>
      <c r="H774" s="11">
        <f t="shared" si="51"/>
        <v>1.0802699999999765</v>
      </c>
    </row>
    <row r="775" spans="1:8" ht="13.8" thickBot="1">
      <c r="A775" s="13">
        <v>77.2</v>
      </c>
      <c r="B775" s="14">
        <v>0.87104999999999999</v>
      </c>
      <c r="C775" s="10">
        <f t="shared" si="48"/>
        <v>-2.7000000000000778E-3</v>
      </c>
      <c r="D775" s="11">
        <f t="shared" si="49"/>
        <v>1.0794900000000061</v>
      </c>
      <c r="E775" s="13">
        <v>77.2</v>
      </c>
      <c r="F775" s="14">
        <v>0.87182999999999999</v>
      </c>
      <c r="G775" s="10">
        <f t="shared" si="50"/>
        <v>-2.7000000000000778E-3</v>
      </c>
      <c r="H775" s="11">
        <f t="shared" si="51"/>
        <v>1.0802700000000061</v>
      </c>
    </row>
    <row r="776" spans="1:8" ht="13.8" thickBot="1">
      <c r="A776" s="13">
        <v>77.3</v>
      </c>
      <c r="B776" s="14">
        <v>0.87078</v>
      </c>
      <c r="C776" s="10">
        <f t="shared" si="48"/>
        <v>-2.6999999999996944E-3</v>
      </c>
      <c r="D776" s="11">
        <f t="shared" si="49"/>
        <v>1.0794899999999763</v>
      </c>
      <c r="E776" s="13">
        <v>77.3</v>
      </c>
      <c r="F776" s="14">
        <v>0.87156</v>
      </c>
      <c r="G776" s="10">
        <f t="shared" si="50"/>
        <v>-2.6999999999996944E-3</v>
      </c>
      <c r="H776" s="11">
        <f t="shared" si="51"/>
        <v>1.0802699999999763</v>
      </c>
    </row>
    <row r="777" spans="1:8" ht="13.8" thickBot="1">
      <c r="A777" s="13">
        <v>77.400000000000006</v>
      </c>
      <c r="B777" s="14">
        <v>0.87051000000000001</v>
      </c>
      <c r="C777" s="10">
        <f t="shared" si="48"/>
        <v>-2.7000000000000778E-3</v>
      </c>
      <c r="D777" s="11">
        <f t="shared" si="49"/>
        <v>1.0794900000000061</v>
      </c>
      <c r="E777" s="13">
        <v>77.400000000000006</v>
      </c>
      <c r="F777" s="14">
        <v>0.87129000000000001</v>
      </c>
      <c r="G777" s="10">
        <f t="shared" si="50"/>
        <v>-2.7000000000000778E-3</v>
      </c>
      <c r="H777" s="11">
        <f t="shared" si="51"/>
        <v>1.0802700000000061</v>
      </c>
    </row>
    <row r="778" spans="1:8" ht="13.8" thickBot="1">
      <c r="A778" s="13">
        <v>77.5</v>
      </c>
      <c r="B778" s="14">
        <v>0.87024000000000001</v>
      </c>
      <c r="C778" s="10">
        <f t="shared" si="48"/>
        <v>-2.7000000000000778E-3</v>
      </c>
      <c r="D778" s="11">
        <f t="shared" si="49"/>
        <v>1.0794900000000061</v>
      </c>
      <c r="E778" s="13">
        <v>77.5</v>
      </c>
      <c r="F778" s="14">
        <v>0.87102000000000002</v>
      </c>
      <c r="G778" s="10">
        <f t="shared" si="50"/>
        <v>-2.7000000000000778E-3</v>
      </c>
      <c r="H778" s="11">
        <f t="shared" si="51"/>
        <v>1.0802700000000061</v>
      </c>
    </row>
    <row r="779" spans="1:8" ht="13.8" thickBot="1">
      <c r="A779" s="13">
        <v>77.599999999999994</v>
      </c>
      <c r="B779" s="14">
        <v>0.86997000000000002</v>
      </c>
      <c r="C779" s="10">
        <f t="shared" si="48"/>
        <v>-2.6999999999996944E-3</v>
      </c>
      <c r="D779" s="11">
        <f t="shared" si="49"/>
        <v>1.0794899999999763</v>
      </c>
      <c r="E779" s="13">
        <v>77.599999999999994</v>
      </c>
      <c r="F779" s="14">
        <v>0.87075000000000002</v>
      </c>
      <c r="G779" s="10">
        <f t="shared" si="50"/>
        <v>-2.6999999999996944E-3</v>
      </c>
      <c r="H779" s="11">
        <f t="shared" si="51"/>
        <v>1.0802699999999763</v>
      </c>
    </row>
    <row r="780" spans="1:8" ht="13.8" thickBot="1">
      <c r="A780" s="13">
        <v>77.7</v>
      </c>
      <c r="B780" s="14">
        <v>0.86970000000000003</v>
      </c>
      <c r="C780" s="10">
        <f t="shared" si="48"/>
        <v>-2.6000000000005272E-3</v>
      </c>
      <c r="D780" s="11">
        <f t="shared" si="49"/>
        <v>1.0717200000000409</v>
      </c>
      <c r="E780" s="13">
        <v>77.7</v>
      </c>
      <c r="F780" s="14">
        <v>0.87048000000000003</v>
      </c>
      <c r="G780" s="10">
        <f t="shared" si="50"/>
        <v>-2.6000000000005272E-3</v>
      </c>
      <c r="H780" s="11">
        <f t="shared" si="51"/>
        <v>1.0725000000000409</v>
      </c>
    </row>
    <row r="781" spans="1:8" ht="13.8" thickBot="1">
      <c r="A781" s="13">
        <v>77.8</v>
      </c>
      <c r="B781" s="14">
        <v>0.86943999999999999</v>
      </c>
      <c r="C781" s="10">
        <f t="shared" si="48"/>
        <v>-2.6999999999996944E-3</v>
      </c>
      <c r="D781" s="11">
        <f t="shared" si="49"/>
        <v>1.0794999999999761</v>
      </c>
      <c r="E781" s="13">
        <v>77.8</v>
      </c>
      <c r="F781" s="14">
        <v>0.87021999999999999</v>
      </c>
      <c r="G781" s="10">
        <f t="shared" si="50"/>
        <v>-2.6999999999996944E-3</v>
      </c>
      <c r="H781" s="11">
        <f t="shared" si="51"/>
        <v>1.0802799999999761</v>
      </c>
    </row>
    <row r="782" spans="1:8" ht="13.8" thickBot="1">
      <c r="A782" s="13">
        <v>77.900000000000006</v>
      </c>
      <c r="B782" s="14">
        <v>0.86917</v>
      </c>
      <c r="C782" s="10">
        <f t="shared" si="48"/>
        <v>-2.7999999999996287E-3</v>
      </c>
      <c r="D782" s="11">
        <f t="shared" si="49"/>
        <v>1.087289999999971</v>
      </c>
      <c r="E782" s="13">
        <v>77.900000000000006</v>
      </c>
      <c r="F782" s="14">
        <v>0.86995</v>
      </c>
      <c r="G782" s="10">
        <f t="shared" si="50"/>
        <v>-2.7999999999996287E-3</v>
      </c>
      <c r="H782" s="11">
        <f t="shared" si="51"/>
        <v>1.088069999999971</v>
      </c>
    </row>
    <row r="783" spans="1:8" ht="13.8" thickBot="1">
      <c r="A783" s="8">
        <v>78</v>
      </c>
      <c r="B783" s="17">
        <v>0.86889000000000005</v>
      </c>
      <c r="C783" s="10">
        <f t="shared" si="48"/>
        <v>-2.7000000000011884E-3</v>
      </c>
      <c r="D783" s="11">
        <f t="shared" si="49"/>
        <v>1.0794900000000927</v>
      </c>
      <c r="E783" s="8">
        <v>78</v>
      </c>
      <c r="F783" s="17">
        <v>0.86967000000000005</v>
      </c>
      <c r="G783" s="10">
        <f t="shared" si="50"/>
        <v>-2.7000000000011884E-3</v>
      </c>
      <c r="H783" s="11">
        <f t="shared" si="51"/>
        <v>1.0802700000000927</v>
      </c>
    </row>
    <row r="784" spans="1:8" ht="13.8" thickBot="1">
      <c r="A784" s="13">
        <v>78.099999999999994</v>
      </c>
      <c r="B784" s="14">
        <v>0.86861999999999995</v>
      </c>
      <c r="C784" s="10">
        <f t="shared" si="48"/>
        <v>-2.6999999999996944E-3</v>
      </c>
      <c r="D784" s="11">
        <f t="shared" si="49"/>
        <v>1.0794899999999761</v>
      </c>
      <c r="E784" s="13">
        <v>78.099999999999994</v>
      </c>
      <c r="F784" s="14">
        <v>0.86939999999999995</v>
      </c>
      <c r="G784" s="10">
        <f t="shared" si="50"/>
        <v>-2.6999999999996944E-3</v>
      </c>
      <c r="H784" s="11">
        <f t="shared" si="51"/>
        <v>1.0802699999999761</v>
      </c>
    </row>
    <row r="785" spans="1:8" ht="13.8" thickBot="1">
      <c r="A785" s="13">
        <v>78.2</v>
      </c>
      <c r="B785" s="14">
        <v>0.86834999999999996</v>
      </c>
      <c r="C785" s="10">
        <f t="shared" si="48"/>
        <v>-2.7000000000000778E-3</v>
      </c>
      <c r="D785" s="11">
        <f t="shared" si="49"/>
        <v>1.0794900000000061</v>
      </c>
      <c r="E785" s="13">
        <v>78.2</v>
      </c>
      <c r="F785" s="14">
        <v>0.86912999999999996</v>
      </c>
      <c r="G785" s="10">
        <f t="shared" si="50"/>
        <v>-2.7000000000000778E-3</v>
      </c>
      <c r="H785" s="11">
        <f t="shared" si="51"/>
        <v>1.0802700000000061</v>
      </c>
    </row>
    <row r="786" spans="1:8" ht="13.8" thickBot="1">
      <c r="A786" s="13">
        <v>78.3</v>
      </c>
      <c r="B786" s="14">
        <v>0.86807999999999996</v>
      </c>
      <c r="C786" s="10">
        <f t="shared" si="48"/>
        <v>-2.6999999999996944E-3</v>
      </c>
      <c r="D786" s="11">
        <f t="shared" si="49"/>
        <v>1.0794899999999761</v>
      </c>
      <c r="E786" s="13">
        <v>78.3</v>
      </c>
      <c r="F786" s="14">
        <v>0.86885999999999997</v>
      </c>
      <c r="G786" s="10">
        <f t="shared" si="50"/>
        <v>-2.6999999999996944E-3</v>
      </c>
      <c r="H786" s="11">
        <f t="shared" si="51"/>
        <v>1.0802699999999761</v>
      </c>
    </row>
    <row r="787" spans="1:8" ht="13.8" thickBot="1">
      <c r="A787" s="13">
        <v>78.400000000000006</v>
      </c>
      <c r="B787" s="14">
        <v>0.86780999999999997</v>
      </c>
      <c r="C787" s="10">
        <f t="shared" si="48"/>
        <v>-2.7000000000000778E-3</v>
      </c>
      <c r="D787" s="11">
        <f t="shared" si="49"/>
        <v>1.0794900000000061</v>
      </c>
      <c r="E787" s="13">
        <v>78.400000000000006</v>
      </c>
      <c r="F787" s="14">
        <v>0.86858999999999997</v>
      </c>
      <c r="G787" s="10">
        <f t="shared" si="50"/>
        <v>-2.7000000000000778E-3</v>
      </c>
      <c r="H787" s="11">
        <f t="shared" si="51"/>
        <v>1.0802700000000061</v>
      </c>
    </row>
    <row r="788" spans="1:8" ht="13.8" thickBot="1">
      <c r="A788" s="13">
        <v>78.5</v>
      </c>
      <c r="B788" s="14">
        <v>0.86753999999999998</v>
      </c>
      <c r="C788" s="10">
        <f t="shared" si="48"/>
        <v>-2.7000000000000778E-3</v>
      </c>
      <c r="D788" s="11">
        <f t="shared" si="49"/>
        <v>1.0794900000000061</v>
      </c>
      <c r="E788" s="13">
        <v>78.5</v>
      </c>
      <c r="F788" s="14">
        <v>0.86831999999999998</v>
      </c>
      <c r="G788" s="10">
        <f t="shared" si="50"/>
        <v>-2.7000000000000778E-3</v>
      </c>
      <c r="H788" s="11">
        <f t="shared" si="51"/>
        <v>1.0802700000000061</v>
      </c>
    </row>
    <row r="789" spans="1:8" ht="13.8" thickBot="1">
      <c r="A789" s="13">
        <v>78.599999999999994</v>
      </c>
      <c r="B789" s="14">
        <v>0.86726999999999999</v>
      </c>
      <c r="C789" s="10">
        <f t="shared" si="48"/>
        <v>-2.7999999999992306E-3</v>
      </c>
      <c r="D789" s="11">
        <f t="shared" si="49"/>
        <v>1.0873499999999394</v>
      </c>
      <c r="E789" s="13">
        <v>78.599999999999994</v>
      </c>
      <c r="F789" s="14">
        <v>0.86804999999999999</v>
      </c>
      <c r="G789" s="10">
        <f t="shared" si="50"/>
        <v>-2.7999999999992306E-3</v>
      </c>
      <c r="H789" s="11">
        <f t="shared" si="51"/>
        <v>1.0881299999999394</v>
      </c>
    </row>
    <row r="790" spans="1:8" ht="13.8" thickBot="1">
      <c r="A790" s="13">
        <v>78.7</v>
      </c>
      <c r="B790" s="14">
        <v>0.86699000000000004</v>
      </c>
      <c r="C790" s="10">
        <f t="shared" si="48"/>
        <v>-2.7000000000000778E-3</v>
      </c>
      <c r="D790" s="11">
        <f t="shared" si="49"/>
        <v>1.0794800000000062</v>
      </c>
      <c r="E790" s="13">
        <v>78.7</v>
      </c>
      <c r="F790" s="14">
        <v>0.86777000000000004</v>
      </c>
      <c r="G790" s="10">
        <f t="shared" si="50"/>
        <v>-2.7000000000000778E-3</v>
      </c>
      <c r="H790" s="11">
        <f t="shared" si="51"/>
        <v>1.0802600000000062</v>
      </c>
    </row>
    <row r="791" spans="1:8" ht="13.8" thickBot="1">
      <c r="A791" s="13">
        <v>78.8</v>
      </c>
      <c r="B791" s="14">
        <v>0.86672000000000005</v>
      </c>
      <c r="C791" s="10">
        <f t="shared" si="48"/>
        <v>-2.6999999999996944E-3</v>
      </c>
      <c r="D791" s="11">
        <f t="shared" si="49"/>
        <v>1.079479999999976</v>
      </c>
      <c r="E791" s="13">
        <v>78.8</v>
      </c>
      <c r="F791" s="14">
        <v>0.86750000000000005</v>
      </c>
      <c r="G791" s="10">
        <f t="shared" si="50"/>
        <v>-2.7000000000008046E-3</v>
      </c>
      <c r="H791" s="11">
        <f t="shared" si="51"/>
        <v>1.0802600000000633</v>
      </c>
    </row>
    <row r="792" spans="1:8" ht="13.8" thickBot="1">
      <c r="A792" s="13">
        <v>78.900000000000006</v>
      </c>
      <c r="B792" s="14">
        <v>0.86645000000000005</v>
      </c>
      <c r="C792" s="10">
        <f t="shared" si="48"/>
        <v>-2.800000000000739E-3</v>
      </c>
      <c r="D792" s="11">
        <f t="shared" si="49"/>
        <v>1.0873700000000583</v>
      </c>
      <c r="E792" s="13">
        <v>78.900000000000006</v>
      </c>
      <c r="F792" s="14">
        <v>0.86722999999999995</v>
      </c>
      <c r="G792" s="10">
        <f t="shared" si="50"/>
        <v>-2.7999999999996287E-3</v>
      </c>
      <c r="H792" s="11">
        <f t="shared" si="51"/>
        <v>1.0881499999999706</v>
      </c>
    </row>
    <row r="793" spans="1:8" ht="13.8" thickBot="1">
      <c r="A793" s="8">
        <v>79</v>
      </c>
      <c r="B793" s="17">
        <v>0.86617</v>
      </c>
      <c r="C793" s="10">
        <f t="shared" si="48"/>
        <v>-2.7000000000000778E-3</v>
      </c>
      <c r="D793" s="11">
        <f t="shared" si="49"/>
        <v>1.0794700000000061</v>
      </c>
      <c r="E793" s="8">
        <v>79</v>
      </c>
      <c r="F793" s="17">
        <v>0.86695</v>
      </c>
      <c r="G793" s="10">
        <f t="shared" si="50"/>
        <v>-2.7000000000000778E-3</v>
      </c>
      <c r="H793" s="11">
        <f t="shared" si="51"/>
        <v>1.0802500000000061</v>
      </c>
    </row>
    <row r="794" spans="1:8" ht="13.8" thickBot="1">
      <c r="A794" s="13">
        <v>79.099999999999994</v>
      </c>
      <c r="B794" s="14">
        <v>0.8659</v>
      </c>
      <c r="C794" s="10">
        <f t="shared" si="48"/>
        <v>-2.8000000000003408E-3</v>
      </c>
      <c r="D794" s="11">
        <f t="shared" si="49"/>
        <v>1.0873800000000269</v>
      </c>
      <c r="E794" s="13">
        <v>79.099999999999994</v>
      </c>
      <c r="F794" s="14">
        <v>0.86668000000000001</v>
      </c>
      <c r="G794" s="10">
        <f t="shared" si="50"/>
        <v>-2.8000000000003408E-3</v>
      </c>
      <c r="H794" s="11">
        <f t="shared" si="51"/>
        <v>1.0881600000000269</v>
      </c>
    </row>
    <row r="795" spans="1:8" ht="13.8" thickBot="1">
      <c r="A795" s="13">
        <v>79.2</v>
      </c>
      <c r="B795" s="14">
        <v>0.86561999999999995</v>
      </c>
      <c r="C795" s="10">
        <f t="shared" si="48"/>
        <v>-2.7000000000000778E-3</v>
      </c>
      <c r="D795" s="11">
        <f t="shared" si="49"/>
        <v>1.0794600000000061</v>
      </c>
      <c r="E795" s="13">
        <v>79.2</v>
      </c>
      <c r="F795" s="14">
        <v>0.86639999999999995</v>
      </c>
      <c r="G795" s="10">
        <f t="shared" si="50"/>
        <v>-2.7000000000000778E-3</v>
      </c>
      <c r="H795" s="11">
        <f t="shared" si="51"/>
        <v>1.0802400000000061</v>
      </c>
    </row>
    <row r="796" spans="1:8" ht="13.8" thickBot="1">
      <c r="A796" s="13">
        <v>79.3</v>
      </c>
      <c r="B796" s="14">
        <v>0.86534999999999995</v>
      </c>
      <c r="C796" s="10">
        <f t="shared" si="48"/>
        <v>-2.7999999999992306E-3</v>
      </c>
      <c r="D796" s="11">
        <f t="shared" si="49"/>
        <v>1.087389999999939</v>
      </c>
      <c r="E796" s="13">
        <v>79.3</v>
      </c>
      <c r="F796" s="14">
        <v>0.86612999999999996</v>
      </c>
      <c r="G796" s="10">
        <f t="shared" si="50"/>
        <v>-2.7999999999992306E-3</v>
      </c>
      <c r="H796" s="11">
        <f t="shared" si="51"/>
        <v>1.088169999999939</v>
      </c>
    </row>
    <row r="797" spans="1:8" ht="13.8" thickBot="1">
      <c r="A797" s="13">
        <v>79.400000000000006</v>
      </c>
      <c r="B797" s="14">
        <v>0.86507000000000001</v>
      </c>
      <c r="C797" s="10">
        <f t="shared" si="48"/>
        <v>-2.7000000000000778E-3</v>
      </c>
      <c r="D797" s="11">
        <f t="shared" si="49"/>
        <v>1.0794500000000062</v>
      </c>
      <c r="E797" s="13">
        <v>79.400000000000006</v>
      </c>
      <c r="F797" s="14">
        <v>0.86585000000000001</v>
      </c>
      <c r="G797" s="10">
        <f t="shared" si="50"/>
        <v>-2.7000000000000778E-3</v>
      </c>
      <c r="H797" s="11">
        <f t="shared" si="51"/>
        <v>1.0802300000000062</v>
      </c>
    </row>
    <row r="798" spans="1:8" ht="13.8" thickBot="1">
      <c r="A798" s="13">
        <v>79.5</v>
      </c>
      <c r="B798" s="14">
        <v>0.86480000000000001</v>
      </c>
      <c r="C798" s="10">
        <f t="shared" si="48"/>
        <v>-2.800000000000739E-3</v>
      </c>
      <c r="D798" s="11">
        <f t="shared" si="49"/>
        <v>1.0874000000000588</v>
      </c>
      <c r="E798" s="13">
        <v>79.5</v>
      </c>
      <c r="F798" s="14">
        <v>0.86558000000000002</v>
      </c>
      <c r="G798" s="10">
        <f t="shared" si="50"/>
        <v>-2.800000000000739E-3</v>
      </c>
      <c r="H798" s="11">
        <f t="shared" si="51"/>
        <v>1.0881800000000588</v>
      </c>
    </row>
    <row r="799" spans="1:8" ht="13.8" thickBot="1">
      <c r="A799" s="13">
        <v>79.599999999999994</v>
      </c>
      <c r="B799" s="14">
        <v>0.86451999999999996</v>
      </c>
      <c r="C799" s="10">
        <f t="shared" si="48"/>
        <v>-2.6999999999996944E-3</v>
      </c>
      <c r="D799" s="11">
        <f t="shared" si="49"/>
        <v>1.0794399999999755</v>
      </c>
      <c r="E799" s="13">
        <v>79.599999999999994</v>
      </c>
      <c r="F799" s="14">
        <v>0.86529999999999996</v>
      </c>
      <c r="G799" s="10">
        <f t="shared" si="50"/>
        <v>-2.6999999999996944E-3</v>
      </c>
      <c r="H799" s="11">
        <f t="shared" si="51"/>
        <v>1.0802199999999758</v>
      </c>
    </row>
    <row r="800" spans="1:8" ht="13.8" thickBot="1">
      <c r="A800" s="13">
        <v>79.7</v>
      </c>
      <c r="B800" s="14">
        <v>0.86424999999999996</v>
      </c>
      <c r="C800" s="10">
        <f t="shared" si="48"/>
        <v>-2.7999999999996287E-3</v>
      </c>
      <c r="D800" s="11">
        <f t="shared" si="49"/>
        <v>1.0874099999999702</v>
      </c>
      <c r="E800" s="13">
        <v>79.7</v>
      </c>
      <c r="F800" s="14">
        <v>0.86502999999999997</v>
      </c>
      <c r="G800" s="10">
        <f t="shared" si="50"/>
        <v>-2.7999999999996287E-3</v>
      </c>
      <c r="H800" s="11">
        <f t="shared" si="51"/>
        <v>1.0881899999999702</v>
      </c>
    </row>
    <row r="801" spans="1:8" ht="13.8" thickBot="1">
      <c r="A801" s="13">
        <v>79.8</v>
      </c>
      <c r="B801" s="14">
        <v>0.86397000000000002</v>
      </c>
      <c r="C801" s="10">
        <f t="shared" si="48"/>
        <v>-2.8000000000003408E-3</v>
      </c>
      <c r="D801" s="11">
        <f t="shared" si="49"/>
        <v>1.0874100000000273</v>
      </c>
      <c r="E801" s="13">
        <v>79.8</v>
      </c>
      <c r="F801" s="14">
        <v>0.86475000000000002</v>
      </c>
      <c r="G801" s="10">
        <f t="shared" si="50"/>
        <v>-2.8000000000003408E-3</v>
      </c>
      <c r="H801" s="11">
        <f t="shared" si="51"/>
        <v>1.0881900000000271</v>
      </c>
    </row>
    <row r="802" spans="1:8" ht="13.8" thickBot="1">
      <c r="A802" s="13">
        <v>79.900000000000006</v>
      </c>
      <c r="B802" s="14">
        <v>0.86368999999999996</v>
      </c>
      <c r="C802" s="10">
        <f t="shared" si="48"/>
        <v>-2.7000000000000778E-3</v>
      </c>
      <c r="D802" s="11">
        <f t="shared" si="49"/>
        <v>1.0794200000000063</v>
      </c>
      <c r="E802" s="13">
        <v>79.900000000000006</v>
      </c>
      <c r="F802" s="14">
        <v>0.86446999999999996</v>
      </c>
      <c r="G802" s="10">
        <f t="shared" si="50"/>
        <v>-2.7000000000000778E-3</v>
      </c>
      <c r="H802" s="11">
        <f t="shared" si="51"/>
        <v>1.0802000000000063</v>
      </c>
    </row>
    <row r="803" spans="1:8" ht="13.8" thickBot="1">
      <c r="A803" s="8">
        <v>80</v>
      </c>
      <c r="B803" s="17">
        <v>0.86341999999999997</v>
      </c>
      <c r="C803" s="10">
        <f t="shared" si="48"/>
        <v>-2.7999999999996287E-3</v>
      </c>
      <c r="D803" s="11">
        <f t="shared" si="49"/>
        <v>1.0874199999999703</v>
      </c>
      <c r="E803" s="8">
        <v>80</v>
      </c>
      <c r="F803" s="17">
        <v>0.86419999999999997</v>
      </c>
      <c r="G803" s="10">
        <f t="shared" si="50"/>
        <v>-2.7999999999996287E-3</v>
      </c>
      <c r="H803" s="11">
        <f t="shared" si="51"/>
        <v>1.0881999999999703</v>
      </c>
    </row>
    <row r="804" spans="1:8" ht="13.8" thickBot="1">
      <c r="A804" s="13">
        <v>80.099999999999994</v>
      </c>
      <c r="B804" s="14">
        <v>0.86314000000000002</v>
      </c>
      <c r="C804" s="10">
        <f t="shared" si="48"/>
        <v>-2.8000000000003408E-3</v>
      </c>
      <c r="D804" s="11">
        <f t="shared" si="49"/>
        <v>1.0874200000000274</v>
      </c>
      <c r="E804" s="13">
        <v>80.099999999999994</v>
      </c>
      <c r="F804" s="14">
        <v>0.86392000000000002</v>
      </c>
      <c r="G804" s="10">
        <f t="shared" si="50"/>
        <v>-2.8000000000003408E-3</v>
      </c>
      <c r="H804" s="11">
        <f t="shared" si="51"/>
        <v>1.0882000000000274</v>
      </c>
    </row>
    <row r="805" spans="1:8" ht="13.8" thickBot="1">
      <c r="A805" s="13">
        <v>80.2</v>
      </c>
      <c r="B805" s="14">
        <v>0.86285999999999996</v>
      </c>
      <c r="C805" s="10">
        <f t="shared" si="48"/>
        <v>-2.7999999999996287E-3</v>
      </c>
      <c r="D805" s="11">
        <f t="shared" si="49"/>
        <v>1.0874199999999701</v>
      </c>
      <c r="E805" s="13">
        <v>80.2</v>
      </c>
      <c r="F805" s="14">
        <v>0.86363999999999996</v>
      </c>
      <c r="G805" s="10">
        <f t="shared" si="50"/>
        <v>-2.7999999999996287E-3</v>
      </c>
      <c r="H805" s="11">
        <f t="shared" si="51"/>
        <v>1.0881999999999701</v>
      </c>
    </row>
    <row r="806" spans="1:8" ht="13.8" thickBot="1">
      <c r="A806" s="13">
        <v>80.3</v>
      </c>
      <c r="B806" s="14">
        <v>0.86258000000000001</v>
      </c>
      <c r="C806" s="10">
        <f t="shared" si="48"/>
        <v>-2.8000000000003408E-3</v>
      </c>
      <c r="D806" s="11">
        <f t="shared" si="49"/>
        <v>1.0874200000000274</v>
      </c>
      <c r="E806" s="13">
        <v>80.3</v>
      </c>
      <c r="F806" s="14">
        <v>0.86336000000000002</v>
      </c>
      <c r="G806" s="10">
        <f t="shared" si="50"/>
        <v>-2.8000000000003408E-3</v>
      </c>
      <c r="H806" s="11">
        <f t="shared" si="51"/>
        <v>1.0882000000000274</v>
      </c>
    </row>
    <row r="807" spans="1:8" ht="13.8" thickBot="1">
      <c r="A807" s="13">
        <v>80.400000000000006</v>
      </c>
      <c r="B807" s="14">
        <v>0.86229999999999996</v>
      </c>
      <c r="C807" s="10">
        <f t="shared" si="48"/>
        <v>-2.7000000000000778E-3</v>
      </c>
      <c r="D807" s="11">
        <f t="shared" si="49"/>
        <v>1.0793800000000062</v>
      </c>
      <c r="E807" s="13">
        <v>80.400000000000006</v>
      </c>
      <c r="F807" s="14">
        <v>0.86307999999999996</v>
      </c>
      <c r="G807" s="10">
        <f t="shared" si="50"/>
        <v>-2.7000000000000778E-3</v>
      </c>
      <c r="H807" s="11">
        <f t="shared" si="51"/>
        <v>1.0801600000000062</v>
      </c>
    </row>
    <row r="808" spans="1:8" ht="13.8" thickBot="1">
      <c r="A808" s="13">
        <v>80.5</v>
      </c>
      <c r="B808" s="14">
        <v>0.86202999999999996</v>
      </c>
      <c r="C808" s="10">
        <f t="shared" si="48"/>
        <v>-2.7999999999996287E-3</v>
      </c>
      <c r="D808" s="11">
        <f t="shared" si="49"/>
        <v>1.0874299999999701</v>
      </c>
      <c r="E808" s="13">
        <v>80.5</v>
      </c>
      <c r="F808" s="14">
        <v>0.86280999999999997</v>
      </c>
      <c r="G808" s="10">
        <f t="shared" si="50"/>
        <v>-2.7999999999996287E-3</v>
      </c>
      <c r="H808" s="11">
        <f t="shared" si="51"/>
        <v>1.0882099999999701</v>
      </c>
    </row>
    <row r="809" spans="1:8" ht="13.8" thickBot="1">
      <c r="A809" s="13">
        <v>80.599999999999994</v>
      </c>
      <c r="B809" s="14">
        <v>0.86175000000000002</v>
      </c>
      <c r="C809" s="10">
        <f t="shared" si="48"/>
        <v>-2.8000000000003408E-3</v>
      </c>
      <c r="D809" s="11">
        <f t="shared" si="49"/>
        <v>1.0874300000000274</v>
      </c>
      <c r="E809" s="13">
        <v>80.599999999999994</v>
      </c>
      <c r="F809" s="14">
        <v>0.86253000000000002</v>
      </c>
      <c r="G809" s="10">
        <f t="shared" si="50"/>
        <v>-2.8000000000003408E-3</v>
      </c>
      <c r="H809" s="11">
        <f t="shared" si="51"/>
        <v>1.0882100000000274</v>
      </c>
    </row>
    <row r="810" spans="1:8" ht="13.8" thickBot="1">
      <c r="A810" s="13">
        <v>80.7</v>
      </c>
      <c r="B810" s="14">
        <v>0.86146999999999996</v>
      </c>
      <c r="C810" s="10">
        <f t="shared" si="48"/>
        <v>-2.7999999999996287E-3</v>
      </c>
      <c r="D810" s="11">
        <f t="shared" si="49"/>
        <v>1.0874299999999699</v>
      </c>
      <c r="E810" s="13">
        <v>80.7</v>
      </c>
      <c r="F810" s="14">
        <v>0.86224999999999996</v>
      </c>
      <c r="G810" s="10">
        <f t="shared" si="50"/>
        <v>-2.7999999999996287E-3</v>
      </c>
      <c r="H810" s="11">
        <f t="shared" si="51"/>
        <v>1.0882099999999699</v>
      </c>
    </row>
    <row r="811" spans="1:8" ht="13.8" thickBot="1">
      <c r="A811" s="13">
        <v>80.8</v>
      </c>
      <c r="B811" s="14">
        <v>0.86119000000000001</v>
      </c>
      <c r="C811" s="10">
        <f t="shared" si="48"/>
        <v>-2.8000000000003408E-3</v>
      </c>
      <c r="D811" s="11">
        <f t="shared" si="49"/>
        <v>1.0874300000000274</v>
      </c>
      <c r="E811" s="13">
        <v>80.8</v>
      </c>
      <c r="F811" s="14">
        <v>0.86197000000000001</v>
      </c>
      <c r="G811" s="10">
        <f t="shared" si="50"/>
        <v>-2.8000000000003408E-3</v>
      </c>
      <c r="H811" s="11">
        <f t="shared" si="51"/>
        <v>1.0882100000000274</v>
      </c>
    </row>
    <row r="812" spans="1:8" ht="13.8" thickBot="1">
      <c r="A812" s="15">
        <v>80.900000000000006</v>
      </c>
      <c r="B812" s="16">
        <v>0.86090999999999995</v>
      </c>
      <c r="C812" s="10">
        <f t="shared" si="48"/>
        <v>-2.7999999999996287E-3</v>
      </c>
      <c r="D812" s="11">
        <f t="shared" si="49"/>
        <v>1.0874299999999699</v>
      </c>
      <c r="E812" s="15">
        <v>80.900000000000006</v>
      </c>
      <c r="F812" s="16">
        <v>0.86168999999999996</v>
      </c>
      <c r="G812" s="10">
        <f t="shared" si="50"/>
        <v>-2.7999999999996287E-3</v>
      </c>
      <c r="H812" s="11">
        <f t="shared" si="51"/>
        <v>1.0882099999999699</v>
      </c>
    </row>
    <row r="813" spans="1:8" ht="13.8" thickBot="1">
      <c r="A813" s="15">
        <v>81</v>
      </c>
      <c r="B813" s="16">
        <v>0.86063000000000001</v>
      </c>
      <c r="C813" s="10">
        <f t="shared" si="48"/>
        <v>-2.9000000000002895E-3</v>
      </c>
      <c r="D813" s="11">
        <f t="shared" si="49"/>
        <v>1.0955300000000234</v>
      </c>
      <c r="E813" s="15">
        <v>81</v>
      </c>
      <c r="F813" s="16">
        <v>0.86141000000000001</v>
      </c>
      <c r="G813" s="10">
        <f t="shared" si="50"/>
        <v>-2.9000000000002895E-3</v>
      </c>
      <c r="H813" s="11">
        <f t="shared" si="51"/>
        <v>1.0963100000000234</v>
      </c>
    </row>
    <row r="814" spans="1:8" ht="13.8" thickBot="1">
      <c r="A814" s="13">
        <v>81.099999999999994</v>
      </c>
      <c r="B814" s="14">
        <v>0.86033999999999999</v>
      </c>
      <c r="C814" s="10">
        <f t="shared" si="48"/>
        <v>-2.7999999999992306E-3</v>
      </c>
      <c r="D814" s="11">
        <f t="shared" si="49"/>
        <v>1.0874199999999377</v>
      </c>
      <c r="E814" s="13">
        <v>81.099999999999994</v>
      </c>
      <c r="F814" s="14">
        <v>0.86112</v>
      </c>
      <c r="G814" s="10">
        <f t="shared" si="50"/>
        <v>-2.8999999999998775E-3</v>
      </c>
      <c r="H814" s="11">
        <f t="shared" si="51"/>
        <v>1.0963099999999901</v>
      </c>
    </row>
    <row r="815" spans="1:8" ht="13.8" thickBot="1">
      <c r="A815" s="13">
        <v>81.2</v>
      </c>
      <c r="B815" s="14">
        <v>0.86006000000000005</v>
      </c>
      <c r="C815" s="10">
        <f t="shared" si="48"/>
        <v>-2.800000000000739E-3</v>
      </c>
      <c r="D815" s="11">
        <f t="shared" si="49"/>
        <v>1.08742000000006</v>
      </c>
      <c r="E815" s="13">
        <v>81.2</v>
      </c>
      <c r="F815" s="14">
        <v>0.86082999999999998</v>
      </c>
      <c r="G815" s="10">
        <f t="shared" si="50"/>
        <v>-2.7999999999996287E-3</v>
      </c>
      <c r="H815" s="11">
        <f t="shared" si="51"/>
        <v>1.0881899999999698</v>
      </c>
    </row>
    <row r="816" spans="1:8" ht="13.8" thickBot="1">
      <c r="A816" s="13">
        <v>81.3</v>
      </c>
      <c r="B816" s="14">
        <v>0.85977999999999999</v>
      </c>
      <c r="C816" s="10">
        <f t="shared" si="48"/>
        <v>-2.7999999999992306E-3</v>
      </c>
      <c r="D816" s="11">
        <f t="shared" si="49"/>
        <v>1.0874199999999374</v>
      </c>
      <c r="E816" s="13">
        <v>81.3</v>
      </c>
      <c r="F816" s="14">
        <v>0.86055000000000004</v>
      </c>
      <c r="G816" s="10">
        <f t="shared" si="50"/>
        <v>-2.8000000000003408E-3</v>
      </c>
      <c r="H816" s="11">
        <f t="shared" si="51"/>
        <v>1.0881900000000277</v>
      </c>
    </row>
    <row r="817" spans="1:8" ht="13.8" thickBot="1">
      <c r="A817" s="13">
        <v>81.400000000000006</v>
      </c>
      <c r="B817" s="14">
        <v>0.85950000000000004</v>
      </c>
      <c r="C817" s="10">
        <f t="shared" si="48"/>
        <v>-2.800000000000739E-3</v>
      </c>
      <c r="D817" s="11">
        <f t="shared" si="49"/>
        <v>1.0874200000000602</v>
      </c>
      <c r="E817" s="13">
        <v>81.400000000000006</v>
      </c>
      <c r="F817" s="14">
        <v>0.86026999999999998</v>
      </c>
      <c r="G817" s="10">
        <f t="shared" si="50"/>
        <v>-2.7999999999996287E-3</v>
      </c>
      <c r="H817" s="11">
        <f t="shared" si="51"/>
        <v>1.0881899999999698</v>
      </c>
    </row>
    <row r="818" spans="1:8" ht="13.8" thickBot="1">
      <c r="A818" s="13">
        <v>81.5</v>
      </c>
      <c r="B818" s="14">
        <v>0.85921999999999998</v>
      </c>
      <c r="C818" s="10">
        <f t="shared" si="48"/>
        <v>-2.9000000000002895E-3</v>
      </c>
      <c r="D818" s="11">
        <f t="shared" si="49"/>
        <v>1.0955700000000237</v>
      </c>
      <c r="E818" s="13">
        <v>81.5</v>
      </c>
      <c r="F818" s="14">
        <v>0.85999000000000003</v>
      </c>
      <c r="G818" s="10">
        <f t="shared" si="50"/>
        <v>-2.9000000000002895E-3</v>
      </c>
      <c r="H818" s="11">
        <f t="shared" si="51"/>
        <v>1.0963400000000236</v>
      </c>
    </row>
    <row r="819" spans="1:8" ht="13.8" thickBot="1">
      <c r="A819" s="13">
        <v>81.599999999999994</v>
      </c>
      <c r="B819" s="14">
        <v>0.85892999999999997</v>
      </c>
      <c r="C819" s="10">
        <f t="shared" si="48"/>
        <v>-2.7999999999992306E-3</v>
      </c>
      <c r="D819" s="11">
        <f t="shared" si="49"/>
        <v>1.0874099999999371</v>
      </c>
      <c r="E819" s="13">
        <v>81.599999999999994</v>
      </c>
      <c r="F819" s="14">
        <v>0.85970000000000002</v>
      </c>
      <c r="G819" s="10">
        <f t="shared" si="50"/>
        <v>-2.8000000000003408E-3</v>
      </c>
      <c r="H819" s="11">
        <f t="shared" si="51"/>
        <v>1.0881800000000279</v>
      </c>
    </row>
    <row r="820" spans="1:8" ht="13.8" thickBot="1">
      <c r="A820" s="13">
        <v>81.7</v>
      </c>
      <c r="B820" s="14">
        <v>0.85865000000000002</v>
      </c>
      <c r="C820" s="10">
        <f t="shared" si="48"/>
        <v>-2.800000000000739E-3</v>
      </c>
      <c r="D820" s="11">
        <f t="shared" si="49"/>
        <v>1.0874100000000604</v>
      </c>
      <c r="E820" s="13">
        <v>81.7</v>
      </c>
      <c r="F820" s="14">
        <v>0.85941999999999996</v>
      </c>
      <c r="G820" s="10">
        <f t="shared" si="50"/>
        <v>-2.7999999999996287E-3</v>
      </c>
      <c r="H820" s="11">
        <f t="shared" si="51"/>
        <v>1.0881799999999697</v>
      </c>
    </row>
    <row r="821" spans="1:8" ht="13.8" thickBot="1">
      <c r="A821" s="13">
        <v>81.8</v>
      </c>
      <c r="B821" s="14">
        <v>0.85836999999999997</v>
      </c>
      <c r="C821" s="10">
        <f t="shared" si="48"/>
        <v>-2.8999999999998775E-3</v>
      </c>
      <c r="D821" s="11">
        <f t="shared" si="49"/>
        <v>1.0955899999999898</v>
      </c>
      <c r="E821" s="13">
        <v>81.8</v>
      </c>
      <c r="F821" s="14">
        <v>0.85914000000000001</v>
      </c>
      <c r="G821" s="10">
        <f t="shared" si="50"/>
        <v>-2.8999999999998775E-3</v>
      </c>
      <c r="H821" s="11">
        <f t="shared" si="51"/>
        <v>1.09635999999999</v>
      </c>
    </row>
    <row r="822" spans="1:8" ht="13.8" thickBot="1">
      <c r="A822" s="13">
        <v>81.900000000000006</v>
      </c>
      <c r="B822" s="14">
        <v>0.85807999999999995</v>
      </c>
      <c r="C822" s="10">
        <f t="shared" si="48"/>
        <v>-2.7999999999996287E-3</v>
      </c>
      <c r="D822" s="11">
        <f t="shared" si="49"/>
        <v>1.0873999999999695</v>
      </c>
      <c r="E822" s="13">
        <v>81.900000000000006</v>
      </c>
      <c r="F822" s="14">
        <v>0.85885</v>
      </c>
      <c r="G822" s="10">
        <f t="shared" si="50"/>
        <v>-2.7999999999996287E-3</v>
      </c>
      <c r="H822" s="11">
        <f t="shared" si="51"/>
        <v>1.0881699999999697</v>
      </c>
    </row>
    <row r="823" spans="1:8" ht="13.8" thickBot="1">
      <c r="A823" s="8">
        <v>82</v>
      </c>
      <c r="B823" s="17">
        <v>0.85780000000000001</v>
      </c>
      <c r="C823" s="10">
        <f t="shared" si="48"/>
        <v>-2.9000000000002895E-3</v>
      </c>
      <c r="D823" s="11">
        <f t="shared" si="49"/>
        <v>1.0956000000000239</v>
      </c>
      <c r="E823" s="8">
        <v>82</v>
      </c>
      <c r="F823" s="17">
        <v>0.85857000000000006</v>
      </c>
      <c r="G823" s="10">
        <f t="shared" si="50"/>
        <v>-2.9000000000002895E-3</v>
      </c>
      <c r="H823" s="11">
        <f t="shared" si="51"/>
        <v>1.0963700000000238</v>
      </c>
    </row>
    <row r="824" spans="1:8" ht="13.8" thickBot="1">
      <c r="A824" s="13">
        <v>82.1</v>
      </c>
      <c r="B824" s="14">
        <v>0.85750999999999999</v>
      </c>
      <c r="C824" s="10">
        <f t="shared" si="48"/>
        <v>-2.7999999999992306E-3</v>
      </c>
      <c r="D824" s="11">
        <f t="shared" si="49"/>
        <v>1.0873899999999368</v>
      </c>
      <c r="E824" s="13">
        <v>82.1</v>
      </c>
      <c r="F824" s="14">
        <v>0.85828000000000004</v>
      </c>
      <c r="G824" s="10">
        <f t="shared" si="50"/>
        <v>-2.8000000000003408E-3</v>
      </c>
      <c r="H824" s="11">
        <f t="shared" si="51"/>
        <v>1.088160000000028</v>
      </c>
    </row>
    <row r="825" spans="1:8" ht="13.8" thickBot="1">
      <c r="A825" s="13">
        <v>82.2</v>
      </c>
      <c r="B825" s="14">
        <v>0.85723000000000005</v>
      </c>
      <c r="C825" s="10">
        <f t="shared" si="48"/>
        <v>-2.9000000000002895E-3</v>
      </c>
      <c r="D825" s="11">
        <f t="shared" si="49"/>
        <v>1.095610000000024</v>
      </c>
      <c r="E825" s="13">
        <v>82.2</v>
      </c>
      <c r="F825" s="14">
        <v>0.85799999999999998</v>
      </c>
      <c r="G825" s="10">
        <f t="shared" si="50"/>
        <v>-2.9000000000002895E-3</v>
      </c>
      <c r="H825" s="11">
        <f t="shared" si="51"/>
        <v>1.0963800000000239</v>
      </c>
    </row>
    <row r="826" spans="1:8" ht="13.8" thickBot="1">
      <c r="A826" s="13">
        <v>82.3</v>
      </c>
      <c r="B826" s="14">
        <v>0.85694000000000004</v>
      </c>
      <c r="C826" s="10">
        <f t="shared" si="48"/>
        <v>-2.8999999999998775E-3</v>
      </c>
      <c r="D826" s="11">
        <f t="shared" si="49"/>
        <v>1.09560999999999</v>
      </c>
      <c r="E826" s="13">
        <v>82.3</v>
      </c>
      <c r="F826" s="14">
        <v>0.85770999999999997</v>
      </c>
      <c r="G826" s="10">
        <f t="shared" si="50"/>
        <v>-2.8999999999998775E-3</v>
      </c>
      <c r="H826" s="11">
        <f t="shared" si="51"/>
        <v>1.0963799999999897</v>
      </c>
    </row>
    <row r="827" spans="1:8" ht="13.8" thickBot="1">
      <c r="A827" s="13">
        <v>82.4</v>
      </c>
      <c r="B827" s="14">
        <v>0.85665000000000002</v>
      </c>
      <c r="C827" s="10">
        <f t="shared" si="48"/>
        <v>-2.800000000000739E-3</v>
      </c>
      <c r="D827" s="11">
        <f t="shared" si="49"/>
        <v>1.087370000000061</v>
      </c>
      <c r="E827" s="13">
        <v>82.4</v>
      </c>
      <c r="F827" s="14">
        <v>0.85741999999999996</v>
      </c>
      <c r="G827" s="10">
        <f t="shared" si="50"/>
        <v>-2.7999999999996287E-3</v>
      </c>
      <c r="H827" s="11">
        <f t="shared" si="51"/>
        <v>1.0881399999999695</v>
      </c>
    </row>
    <row r="828" spans="1:8" ht="13.8" thickBot="1">
      <c r="A828" s="13">
        <v>82.5</v>
      </c>
      <c r="B828" s="14">
        <v>0.85636999999999996</v>
      </c>
      <c r="C828" s="10">
        <f t="shared" si="48"/>
        <v>-2.9000000000002895E-3</v>
      </c>
      <c r="D828" s="11">
        <f t="shared" si="49"/>
        <v>1.0956200000000238</v>
      </c>
      <c r="E828" s="13">
        <v>82.5</v>
      </c>
      <c r="F828" s="14">
        <v>0.85714000000000001</v>
      </c>
      <c r="G828" s="10">
        <f t="shared" si="50"/>
        <v>-2.9000000000002895E-3</v>
      </c>
      <c r="H828" s="11">
        <f t="shared" si="51"/>
        <v>1.096390000000024</v>
      </c>
    </row>
    <row r="829" spans="1:8" ht="13.8" thickBot="1">
      <c r="A829" s="13">
        <v>82.6</v>
      </c>
      <c r="B829" s="14">
        <v>0.85607999999999995</v>
      </c>
      <c r="C829" s="10">
        <f t="shared" si="48"/>
        <v>-2.8999999999987673E-3</v>
      </c>
      <c r="D829" s="11">
        <f t="shared" si="49"/>
        <v>1.0956199999998981</v>
      </c>
      <c r="E829" s="13">
        <v>82.6</v>
      </c>
      <c r="F829" s="14">
        <v>0.85685</v>
      </c>
      <c r="G829" s="10">
        <f t="shared" si="50"/>
        <v>-2.8999999999998775E-3</v>
      </c>
      <c r="H829" s="11">
        <f t="shared" si="51"/>
        <v>1.09638999999999</v>
      </c>
    </row>
    <row r="830" spans="1:8" ht="13.8" thickBot="1">
      <c r="A830" s="13">
        <v>82.7</v>
      </c>
      <c r="B830" s="14">
        <v>0.85579000000000005</v>
      </c>
      <c r="C830" s="10">
        <f t="shared" si="48"/>
        <v>-2.800000000000739E-3</v>
      </c>
      <c r="D830" s="11">
        <f t="shared" si="49"/>
        <v>1.0873500000000611</v>
      </c>
      <c r="E830" s="13">
        <v>82.7</v>
      </c>
      <c r="F830" s="14">
        <v>0.85655999999999999</v>
      </c>
      <c r="G830" s="10">
        <f t="shared" si="50"/>
        <v>-2.7999999999996287E-3</v>
      </c>
      <c r="H830" s="11">
        <f t="shared" si="51"/>
        <v>1.0881199999999693</v>
      </c>
    </row>
    <row r="831" spans="1:8" ht="13.8" thickBot="1">
      <c r="A831" s="13">
        <v>82.8</v>
      </c>
      <c r="B831" s="14">
        <v>0.85550999999999999</v>
      </c>
      <c r="C831" s="10">
        <f t="shared" si="48"/>
        <v>-2.8999999999998775E-3</v>
      </c>
      <c r="D831" s="11">
        <f t="shared" si="49"/>
        <v>1.0956299999999897</v>
      </c>
      <c r="E831" s="13">
        <v>82.8</v>
      </c>
      <c r="F831" s="14">
        <v>0.85628000000000004</v>
      </c>
      <c r="G831" s="10">
        <f t="shared" si="50"/>
        <v>-2.8999999999998775E-3</v>
      </c>
      <c r="H831" s="11">
        <f t="shared" si="51"/>
        <v>1.0963999999999898</v>
      </c>
    </row>
    <row r="832" spans="1:8" ht="13.8" thickBot="1">
      <c r="A832" s="13">
        <v>82.9</v>
      </c>
      <c r="B832" s="14">
        <v>0.85521999999999998</v>
      </c>
      <c r="C832" s="10">
        <f t="shared" si="48"/>
        <v>-2.9000000000002895E-3</v>
      </c>
      <c r="D832" s="11">
        <f t="shared" si="49"/>
        <v>1.0956300000000241</v>
      </c>
      <c r="E832" s="13">
        <v>82.9</v>
      </c>
      <c r="F832" s="14">
        <v>0.85599000000000003</v>
      </c>
      <c r="G832" s="10">
        <f t="shared" si="50"/>
        <v>-2.9000000000002895E-3</v>
      </c>
      <c r="H832" s="11">
        <f t="shared" si="51"/>
        <v>1.096400000000024</v>
      </c>
    </row>
    <row r="833" spans="1:8" ht="13.8" thickBot="1">
      <c r="A833" s="8">
        <v>83</v>
      </c>
      <c r="B833" s="17">
        <v>0.85492999999999997</v>
      </c>
      <c r="C833" s="10">
        <f t="shared" si="48"/>
        <v>-2.9000000000002895E-3</v>
      </c>
      <c r="D833" s="11">
        <f t="shared" si="49"/>
        <v>1.0956300000000239</v>
      </c>
      <c r="E833" s="8">
        <v>83</v>
      </c>
      <c r="F833" s="17">
        <v>0.85570000000000002</v>
      </c>
      <c r="G833" s="10">
        <f t="shared" si="50"/>
        <v>-2.9000000000002895E-3</v>
      </c>
      <c r="H833" s="11">
        <f t="shared" si="51"/>
        <v>1.096400000000024</v>
      </c>
    </row>
    <row r="834" spans="1:8" ht="13.8" thickBot="1">
      <c r="A834" s="13">
        <v>83.1</v>
      </c>
      <c r="B834" s="14">
        <v>0.85463999999999996</v>
      </c>
      <c r="C834" s="10">
        <f t="shared" si="48"/>
        <v>-2.8999999999987673E-3</v>
      </c>
      <c r="D834" s="11">
        <f t="shared" si="49"/>
        <v>1.0956299999998975</v>
      </c>
      <c r="E834" s="13">
        <v>83.1</v>
      </c>
      <c r="F834" s="14">
        <v>0.85541</v>
      </c>
      <c r="G834" s="10">
        <f t="shared" si="50"/>
        <v>-2.8999999999998775E-3</v>
      </c>
      <c r="H834" s="11">
        <f t="shared" si="51"/>
        <v>1.0963999999999898</v>
      </c>
    </row>
    <row r="835" spans="1:8" ht="13.8" thickBot="1">
      <c r="A835" s="13">
        <v>83.2</v>
      </c>
      <c r="B835" s="14">
        <v>0.85435000000000005</v>
      </c>
      <c r="C835" s="10">
        <f t="shared" si="48"/>
        <v>-2.9000000000002895E-3</v>
      </c>
      <c r="D835" s="11">
        <f t="shared" si="49"/>
        <v>1.0956300000000243</v>
      </c>
      <c r="E835" s="13">
        <v>83.2</v>
      </c>
      <c r="F835" s="14">
        <v>0.85511999999999999</v>
      </c>
      <c r="G835" s="10">
        <f t="shared" si="50"/>
        <v>-2.9000000000002895E-3</v>
      </c>
      <c r="H835" s="11">
        <f t="shared" si="51"/>
        <v>1.096400000000024</v>
      </c>
    </row>
    <row r="836" spans="1:8" ht="13.8" thickBot="1">
      <c r="A836" s="13">
        <v>83.3</v>
      </c>
      <c r="B836" s="14">
        <v>0.85406000000000004</v>
      </c>
      <c r="C836" s="10">
        <f t="shared" ref="C836:C899" si="52">SLOPE(B836:B837,A836:A837)</f>
        <v>-2.8999999999998775E-3</v>
      </c>
      <c r="D836" s="11">
        <f t="shared" ref="D836:D899" si="53">INTERCEPT(B836:B837,A836:A837)</f>
        <v>1.0956299999999897</v>
      </c>
      <c r="E836" s="13">
        <v>83.3</v>
      </c>
      <c r="F836" s="14">
        <v>0.85482999999999998</v>
      </c>
      <c r="G836" s="10">
        <f t="shared" ref="G836:G899" si="54">SLOPE(F836:F837,E836:E837)</f>
        <v>-2.8999999999998775E-3</v>
      </c>
      <c r="H836" s="11">
        <f t="shared" ref="H836:H899" si="55">INTERCEPT(F836:F837,E836:E837)</f>
        <v>1.0963999999999896</v>
      </c>
    </row>
    <row r="837" spans="1:8" ht="13.8" thickBot="1">
      <c r="A837" s="13">
        <v>83.4</v>
      </c>
      <c r="B837" s="14">
        <v>0.85377000000000003</v>
      </c>
      <c r="C837" s="10">
        <f t="shared" si="52"/>
        <v>-2.9000000000002895E-3</v>
      </c>
      <c r="D837" s="11">
        <f t="shared" si="53"/>
        <v>1.0956300000000243</v>
      </c>
      <c r="E837" s="13">
        <v>83.4</v>
      </c>
      <c r="F837" s="14">
        <v>0.85453999999999997</v>
      </c>
      <c r="G837" s="10">
        <f t="shared" si="54"/>
        <v>-2.9000000000002895E-3</v>
      </c>
      <c r="H837" s="11">
        <f t="shared" si="55"/>
        <v>1.0964000000000242</v>
      </c>
    </row>
    <row r="838" spans="1:8" ht="13.8" thickBot="1">
      <c r="A838" s="13">
        <v>83.5</v>
      </c>
      <c r="B838" s="14">
        <v>0.85348000000000002</v>
      </c>
      <c r="C838" s="10">
        <f t="shared" si="52"/>
        <v>-2.9000000000002895E-3</v>
      </c>
      <c r="D838" s="11">
        <f t="shared" si="53"/>
        <v>1.0956300000000241</v>
      </c>
      <c r="E838" s="13">
        <v>83.5</v>
      </c>
      <c r="F838" s="14">
        <v>0.85424999999999995</v>
      </c>
      <c r="G838" s="10">
        <f t="shared" si="54"/>
        <v>-2.8999999999991793E-3</v>
      </c>
      <c r="H838" s="11">
        <f t="shared" si="55"/>
        <v>1.0963999999999314</v>
      </c>
    </row>
    <row r="839" spans="1:8" ht="13.8" thickBot="1">
      <c r="A839" s="13">
        <v>83.6</v>
      </c>
      <c r="B839" s="14">
        <v>0.85319</v>
      </c>
      <c r="C839" s="10">
        <f t="shared" si="52"/>
        <v>-2.8999999999998775E-3</v>
      </c>
      <c r="D839" s="11">
        <f t="shared" si="53"/>
        <v>1.0956299999999899</v>
      </c>
      <c r="E839" s="13">
        <v>83.6</v>
      </c>
      <c r="F839" s="14">
        <v>0.85396000000000005</v>
      </c>
      <c r="G839" s="10">
        <f t="shared" si="54"/>
        <v>-2.8999999999998775E-3</v>
      </c>
      <c r="H839" s="11">
        <f t="shared" si="55"/>
        <v>1.0963999999999898</v>
      </c>
    </row>
    <row r="840" spans="1:8" ht="13.8" thickBot="1">
      <c r="A840" s="13">
        <v>83.7</v>
      </c>
      <c r="B840" s="14">
        <v>0.85289999999999999</v>
      </c>
      <c r="C840" s="10">
        <f t="shared" si="52"/>
        <v>-2.9999999999998396E-3</v>
      </c>
      <c r="D840" s="11">
        <f t="shared" si="53"/>
        <v>1.1039999999999865</v>
      </c>
      <c r="E840" s="13">
        <v>83.7</v>
      </c>
      <c r="F840" s="14">
        <v>0.85367000000000004</v>
      </c>
      <c r="G840" s="10">
        <f t="shared" si="54"/>
        <v>-3.0000000000009503E-3</v>
      </c>
      <c r="H840" s="11">
        <f t="shared" si="55"/>
        <v>1.1047700000000797</v>
      </c>
    </row>
    <row r="841" spans="1:8" ht="13.8" thickBot="1">
      <c r="A841" s="13">
        <v>83.8</v>
      </c>
      <c r="B841" s="14">
        <v>0.85260000000000002</v>
      </c>
      <c r="C841" s="10">
        <f t="shared" si="52"/>
        <v>-2.8999999999998775E-3</v>
      </c>
      <c r="D841" s="11">
        <f t="shared" si="53"/>
        <v>1.0956199999999896</v>
      </c>
      <c r="E841" s="13">
        <v>83.8</v>
      </c>
      <c r="F841" s="14">
        <v>0.85336999999999996</v>
      </c>
      <c r="G841" s="10">
        <f t="shared" si="54"/>
        <v>-2.8999999999998775E-3</v>
      </c>
      <c r="H841" s="11">
        <f t="shared" si="55"/>
        <v>1.0963899999999895</v>
      </c>
    </row>
    <row r="842" spans="1:8" ht="13.8" thickBot="1">
      <c r="A842" s="13">
        <v>83.9</v>
      </c>
      <c r="B842" s="14">
        <v>0.85231000000000001</v>
      </c>
      <c r="C842" s="10">
        <f t="shared" si="52"/>
        <v>-2.9000000000002895E-3</v>
      </c>
      <c r="D842" s="11">
        <f t="shared" si="53"/>
        <v>1.0956200000000245</v>
      </c>
      <c r="E842" s="13">
        <v>83.9</v>
      </c>
      <c r="F842" s="14">
        <v>0.85307999999999995</v>
      </c>
      <c r="G842" s="10">
        <f t="shared" si="54"/>
        <v>-2.8999999999991793E-3</v>
      </c>
      <c r="H842" s="11">
        <f t="shared" si="55"/>
        <v>1.0963899999999311</v>
      </c>
    </row>
    <row r="843" spans="1:8" ht="13.8" thickBot="1">
      <c r="A843" s="8">
        <v>84</v>
      </c>
      <c r="B843" s="17">
        <v>0.85202</v>
      </c>
      <c r="C843" s="10">
        <f t="shared" si="52"/>
        <v>-2.9000000000002895E-3</v>
      </c>
      <c r="D843" s="11">
        <f t="shared" si="53"/>
        <v>1.0956200000000242</v>
      </c>
      <c r="E843" s="8">
        <v>84</v>
      </c>
      <c r="F843" s="17">
        <v>0.85279000000000005</v>
      </c>
      <c r="G843" s="10">
        <f t="shared" si="54"/>
        <v>-2.9000000000002895E-3</v>
      </c>
      <c r="H843" s="11">
        <f t="shared" si="55"/>
        <v>1.0963900000000244</v>
      </c>
    </row>
    <row r="844" spans="1:8" ht="13.8" thickBot="1">
      <c r="A844" s="13">
        <v>84.1</v>
      </c>
      <c r="B844" s="14">
        <v>0.85172999999999999</v>
      </c>
      <c r="C844" s="10">
        <f t="shared" si="52"/>
        <v>-2.9999999999994137E-3</v>
      </c>
      <c r="D844" s="11">
        <f t="shared" si="53"/>
        <v>1.1040299999999506</v>
      </c>
      <c r="E844" s="13">
        <v>84.1</v>
      </c>
      <c r="F844" s="14">
        <v>0.85250000000000004</v>
      </c>
      <c r="G844" s="10">
        <f t="shared" si="54"/>
        <v>-3.0000000000005239E-3</v>
      </c>
      <c r="H844" s="11">
        <f t="shared" si="55"/>
        <v>1.104800000000044</v>
      </c>
    </row>
    <row r="845" spans="1:8" ht="13.8" thickBot="1">
      <c r="A845" s="13">
        <v>84.2</v>
      </c>
      <c r="B845" s="14">
        <v>0.85143000000000002</v>
      </c>
      <c r="C845" s="10">
        <f t="shared" si="52"/>
        <v>-2.9000000000002895E-3</v>
      </c>
      <c r="D845" s="11">
        <f t="shared" si="53"/>
        <v>1.0956100000000244</v>
      </c>
      <c r="E845" s="13">
        <v>84.2</v>
      </c>
      <c r="F845" s="14">
        <v>0.85219999999999996</v>
      </c>
      <c r="G845" s="10">
        <f t="shared" si="54"/>
        <v>-2.9000000000002895E-3</v>
      </c>
      <c r="H845" s="11">
        <f t="shared" si="55"/>
        <v>1.0963800000000243</v>
      </c>
    </row>
    <row r="846" spans="1:8" ht="13.8" thickBot="1">
      <c r="A846" s="13">
        <v>84.3</v>
      </c>
      <c r="B846" s="14">
        <v>0.85114000000000001</v>
      </c>
      <c r="C846" s="10">
        <f t="shared" si="52"/>
        <v>-2.9999999999994137E-3</v>
      </c>
      <c r="D846" s="11">
        <f t="shared" si="53"/>
        <v>1.1040399999999506</v>
      </c>
      <c r="E846" s="13">
        <v>84.3</v>
      </c>
      <c r="F846" s="14">
        <v>0.85190999999999995</v>
      </c>
      <c r="G846" s="10">
        <f t="shared" si="54"/>
        <v>-2.9999999999994137E-3</v>
      </c>
      <c r="H846" s="11">
        <f t="shared" si="55"/>
        <v>1.1048099999999506</v>
      </c>
    </row>
    <row r="847" spans="1:8" ht="13.8" thickBot="1">
      <c r="A847" s="13">
        <v>84.4</v>
      </c>
      <c r="B847" s="14">
        <v>0.85084000000000004</v>
      </c>
      <c r="C847" s="10">
        <f t="shared" si="52"/>
        <v>-2.9000000000002895E-3</v>
      </c>
      <c r="D847" s="11">
        <f t="shared" si="53"/>
        <v>1.0956000000000246</v>
      </c>
      <c r="E847" s="13">
        <v>84.4</v>
      </c>
      <c r="F847" s="14">
        <v>0.85160999999999998</v>
      </c>
      <c r="G847" s="10">
        <f t="shared" si="54"/>
        <v>-2.9000000000002895E-3</v>
      </c>
      <c r="H847" s="11">
        <f t="shared" si="55"/>
        <v>1.0963700000000243</v>
      </c>
    </row>
    <row r="848" spans="1:8" ht="13.8" thickBot="1">
      <c r="A848" s="13">
        <v>84.5</v>
      </c>
      <c r="B848" s="14">
        <v>0.85055000000000003</v>
      </c>
      <c r="C848" s="10">
        <f t="shared" si="52"/>
        <v>-3.0000000000009503E-3</v>
      </c>
      <c r="D848" s="11">
        <f t="shared" si="53"/>
        <v>1.1040500000000804</v>
      </c>
      <c r="E848" s="13">
        <v>84.5</v>
      </c>
      <c r="F848" s="14">
        <v>0.85131999999999997</v>
      </c>
      <c r="G848" s="10">
        <f t="shared" si="54"/>
        <v>-2.9999999999998396E-3</v>
      </c>
      <c r="H848" s="11">
        <f t="shared" si="55"/>
        <v>1.1048199999999864</v>
      </c>
    </row>
    <row r="849" spans="1:8" ht="13.8" thickBot="1">
      <c r="A849" s="13">
        <v>84.6</v>
      </c>
      <c r="B849" s="14">
        <v>0.85024999999999995</v>
      </c>
      <c r="C849" s="10">
        <f t="shared" si="52"/>
        <v>-2.8999999999987673E-3</v>
      </c>
      <c r="D849" s="11">
        <f t="shared" si="53"/>
        <v>1.0955899999998957</v>
      </c>
      <c r="E849" s="13">
        <v>84.6</v>
      </c>
      <c r="F849" s="14">
        <v>0.85102</v>
      </c>
      <c r="G849" s="10">
        <f t="shared" si="54"/>
        <v>-2.8999999999998775E-3</v>
      </c>
      <c r="H849" s="11">
        <f t="shared" si="55"/>
        <v>1.0963599999999898</v>
      </c>
    </row>
    <row r="850" spans="1:8" ht="13.8" thickBot="1">
      <c r="A850" s="13">
        <v>84.7</v>
      </c>
      <c r="B850" s="14">
        <v>0.84996000000000005</v>
      </c>
      <c r="C850" s="10">
        <f t="shared" si="52"/>
        <v>-3.0000000000009503E-3</v>
      </c>
      <c r="D850" s="11">
        <f t="shared" si="53"/>
        <v>1.1040600000000804</v>
      </c>
      <c r="E850" s="13">
        <v>84.7</v>
      </c>
      <c r="F850" s="14">
        <v>0.85072999999999999</v>
      </c>
      <c r="G850" s="10">
        <f t="shared" si="54"/>
        <v>-2.9999999999998396E-3</v>
      </c>
      <c r="H850" s="11">
        <f t="shared" si="55"/>
        <v>1.1048299999999864</v>
      </c>
    </row>
    <row r="851" spans="1:8" ht="13.8" thickBot="1">
      <c r="A851" s="13">
        <v>84.8</v>
      </c>
      <c r="B851" s="14">
        <v>0.84965999999999997</v>
      </c>
      <c r="C851" s="10">
        <f t="shared" si="52"/>
        <v>-2.9999999999994137E-3</v>
      </c>
      <c r="D851" s="11">
        <f t="shared" si="53"/>
        <v>1.1040599999999503</v>
      </c>
      <c r="E851" s="13">
        <v>84.8</v>
      </c>
      <c r="F851" s="14">
        <v>0.85043000000000002</v>
      </c>
      <c r="G851" s="10">
        <f t="shared" si="54"/>
        <v>-2.9999999999994137E-3</v>
      </c>
      <c r="H851" s="11">
        <f t="shared" si="55"/>
        <v>1.1048299999999502</v>
      </c>
    </row>
    <row r="852" spans="1:8" ht="13.8" thickBot="1">
      <c r="A852" s="13">
        <v>84.9</v>
      </c>
      <c r="B852" s="14">
        <v>0.84936</v>
      </c>
      <c r="C852" s="10">
        <f t="shared" si="52"/>
        <v>-2.9999999999998396E-3</v>
      </c>
      <c r="D852" s="11">
        <f t="shared" si="53"/>
        <v>1.1040599999999863</v>
      </c>
      <c r="E852" s="13">
        <v>84.9</v>
      </c>
      <c r="F852" s="14">
        <v>0.85013000000000005</v>
      </c>
      <c r="G852" s="10">
        <f t="shared" si="54"/>
        <v>-3.1000000000005008E-3</v>
      </c>
      <c r="H852" s="11">
        <f t="shared" si="55"/>
        <v>1.1133200000000425</v>
      </c>
    </row>
    <row r="853" spans="1:8" ht="13.8" thickBot="1">
      <c r="A853" s="8">
        <v>85</v>
      </c>
      <c r="B853" s="17">
        <v>0.84906000000000004</v>
      </c>
      <c r="C853" s="10">
        <f t="shared" si="52"/>
        <v>-2.9000000000002895E-3</v>
      </c>
      <c r="D853" s="11">
        <f t="shared" si="53"/>
        <v>1.0955600000000247</v>
      </c>
      <c r="E853" s="8">
        <v>85</v>
      </c>
      <c r="F853" s="17">
        <v>0.84982000000000002</v>
      </c>
      <c r="G853" s="10">
        <f t="shared" si="54"/>
        <v>-2.9000000000002895E-3</v>
      </c>
      <c r="H853" s="11">
        <f t="shared" si="55"/>
        <v>1.0963200000000246</v>
      </c>
    </row>
    <row r="854" spans="1:8" ht="13.8" thickBot="1">
      <c r="A854" s="13">
        <v>85.1</v>
      </c>
      <c r="B854" s="14">
        <v>0.84877000000000002</v>
      </c>
      <c r="C854" s="10">
        <f t="shared" si="52"/>
        <v>-3.0000000000005239E-3</v>
      </c>
      <c r="D854" s="11">
        <f t="shared" si="53"/>
        <v>1.1040700000000445</v>
      </c>
      <c r="E854" s="13">
        <v>85.1</v>
      </c>
      <c r="F854" s="14">
        <v>0.84953000000000001</v>
      </c>
      <c r="G854" s="10">
        <f t="shared" si="54"/>
        <v>-2.9999999999994137E-3</v>
      </c>
      <c r="H854" s="11">
        <f t="shared" si="55"/>
        <v>1.10482999999995</v>
      </c>
    </row>
    <row r="855" spans="1:8" ht="13.8" thickBot="1">
      <c r="A855" s="13">
        <v>85.2</v>
      </c>
      <c r="B855" s="14">
        <v>0.84846999999999995</v>
      </c>
      <c r="C855" s="10">
        <f t="shared" si="52"/>
        <v>-2.9999999999998396E-3</v>
      </c>
      <c r="D855" s="11">
        <f t="shared" si="53"/>
        <v>1.1040699999999863</v>
      </c>
      <c r="E855" s="13">
        <v>85.2</v>
      </c>
      <c r="F855" s="14">
        <v>0.84923000000000004</v>
      </c>
      <c r="G855" s="10">
        <f t="shared" si="54"/>
        <v>-3.0000000000009503E-3</v>
      </c>
      <c r="H855" s="11">
        <f t="shared" si="55"/>
        <v>1.104830000000081</v>
      </c>
    </row>
    <row r="856" spans="1:8" ht="13.8" thickBot="1">
      <c r="A856" s="13">
        <v>85.3</v>
      </c>
      <c r="B856" s="14">
        <v>0.84816999999999998</v>
      </c>
      <c r="C856" s="10">
        <f t="shared" si="52"/>
        <v>-2.9999999999994137E-3</v>
      </c>
      <c r="D856" s="11">
        <f t="shared" si="53"/>
        <v>1.1040699999999499</v>
      </c>
      <c r="E856" s="13">
        <v>85.3</v>
      </c>
      <c r="F856" s="14">
        <v>0.84892999999999996</v>
      </c>
      <c r="G856" s="10">
        <f t="shared" si="54"/>
        <v>-2.9999999999994137E-3</v>
      </c>
      <c r="H856" s="11">
        <f t="shared" si="55"/>
        <v>1.10482999999995</v>
      </c>
    </row>
    <row r="857" spans="1:8" ht="13.8" thickBot="1">
      <c r="A857" s="13">
        <v>85.4</v>
      </c>
      <c r="B857" s="14">
        <v>0.84787000000000001</v>
      </c>
      <c r="C857" s="10">
        <f t="shared" si="52"/>
        <v>-2.9999999999998396E-3</v>
      </c>
      <c r="D857" s="11">
        <f t="shared" si="53"/>
        <v>1.1040699999999863</v>
      </c>
      <c r="E857" s="13">
        <v>85.4</v>
      </c>
      <c r="F857" s="14">
        <v>0.84863</v>
      </c>
      <c r="G857" s="10">
        <f t="shared" si="54"/>
        <v>-2.9999999999998396E-3</v>
      </c>
      <c r="H857" s="11">
        <f t="shared" si="55"/>
        <v>1.1048299999999864</v>
      </c>
    </row>
    <row r="858" spans="1:8" ht="13.8" thickBot="1">
      <c r="A858" s="13">
        <v>85.5</v>
      </c>
      <c r="B858" s="14">
        <v>0.84757000000000005</v>
      </c>
      <c r="C858" s="10">
        <f t="shared" si="52"/>
        <v>-3.0000000000009503E-3</v>
      </c>
      <c r="D858" s="11">
        <f t="shared" si="53"/>
        <v>1.1040700000000814</v>
      </c>
      <c r="E858" s="13">
        <v>85.5</v>
      </c>
      <c r="F858" s="14">
        <v>0.84833000000000003</v>
      </c>
      <c r="G858" s="10">
        <f t="shared" si="54"/>
        <v>-3.0000000000009503E-3</v>
      </c>
      <c r="H858" s="11">
        <f t="shared" si="55"/>
        <v>1.1048300000000812</v>
      </c>
    </row>
    <row r="859" spans="1:8" ht="13.8" thickBot="1">
      <c r="A859" s="13">
        <v>85.6</v>
      </c>
      <c r="B859" s="14">
        <v>0.84726999999999997</v>
      </c>
      <c r="C859" s="10">
        <f t="shared" si="52"/>
        <v>-2.9999999999994137E-3</v>
      </c>
      <c r="D859" s="11">
        <f t="shared" si="53"/>
        <v>1.1040699999999499</v>
      </c>
      <c r="E859" s="13">
        <v>85.6</v>
      </c>
      <c r="F859" s="14">
        <v>0.84802999999999995</v>
      </c>
      <c r="G859" s="10">
        <f t="shared" si="54"/>
        <v>-2.9999999999994137E-3</v>
      </c>
      <c r="H859" s="11">
        <f t="shared" si="55"/>
        <v>1.1048299999999498</v>
      </c>
    </row>
    <row r="860" spans="1:8" ht="13.8" thickBot="1">
      <c r="A860" s="13">
        <v>85.7</v>
      </c>
      <c r="B860" s="14">
        <v>0.84697</v>
      </c>
      <c r="C860" s="10">
        <f t="shared" si="52"/>
        <v>-3.1000000000005008E-3</v>
      </c>
      <c r="D860" s="11">
        <f t="shared" si="53"/>
        <v>1.1126400000000429</v>
      </c>
      <c r="E860" s="13">
        <v>85.7</v>
      </c>
      <c r="F860" s="14">
        <v>0.84772999999999998</v>
      </c>
      <c r="G860" s="10">
        <f t="shared" si="54"/>
        <v>-3.1000000000005008E-3</v>
      </c>
      <c r="H860" s="11">
        <f t="shared" si="55"/>
        <v>1.113400000000043</v>
      </c>
    </row>
    <row r="861" spans="1:8" ht="13.8" thickBot="1">
      <c r="A861" s="13">
        <v>85.8</v>
      </c>
      <c r="B861" s="14">
        <v>0.84665999999999997</v>
      </c>
      <c r="C861" s="10">
        <f t="shared" si="52"/>
        <v>-2.9999999999994137E-3</v>
      </c>
      <c r="D861" s="11">
        <f t="shared" si="53"/>
        <v>1.1040599999999496</v>
      </c>
      <c r="E861" s="13">
        <v>85.8</v>
      </c>
      <c r="F861" s="14">
        <v>0.84741999999999995</v>
      </c>
      <c r="G861" s="10">
        <f t="shared" si="54"/>
        <v>-2.9999999999994137E-3</v>
      </c>
      <c r="H861" s="11">
        <f t="shared" si="55"/>
        <v>1.1048199999999495</v>
      </c>
    </row>
    <row r="862" spans="1:8" ht="13.8" thickBot="1">
      <c r="A862" s="13">
        <v>85.9</v>
      </c>
      <c r="B862" s="14">
        <v>0.84636</v>
      </c>
      <c r="C862" s="10">
        <f t="shared" si="52"/>
        <v>-2.9999999999998396E-3</v>
      </c>
      <c r="D862" s="11">
        <f t="shared" si="53"/>
        <v>1.1040599999999863</v>
      </c>
      <c r="E862" s="13">
        <v>85.9</v>
      </c>
      <c r="F862" s="14">
        <v>0.84711999999999998</v>
      </c>
      <c r="G862" s="10">
        <f t="shared" si="54"/>
        <v>-2.9999999999998396E-3</v>
      </c>
      <c r="H862" s="11">
        <f t="shared" si="55"/>
        <v>1.1048199999999861</v>
      </c>
    </row>
    <row r="863" spans="1:8" ht="13.8" thickBot="1">
      <c r="A863" s="8">
        <v>86</v>
      </c>
      <c r="B863" s="17">
        <v>0.84606000000000003</v>
      </c>
      <c r="C863" s="10">
        <f t="shared" si="52"/>
        <v>-3.0000000000009503E-3</v>
      </c>
      <c r="D863" s="11">
        <f t="shared" si="53"/>
        <v>1.1040600000000818</v>
      </c>
      <c r="E863" s="8">
        <v>86</v>
      </c>
      <c r="F863" s="17">
        <v>0.84682000000000002</v>
      </c>
      <c r="G863" s="10">
        <f t="shared" si="54"/>
        <v>-2.9999999999998396E-3</v>
      </c>
      <c r="H863" s="11">
        <f t="shared" si="55"/>
        <v>1.1048199999999861</v>
      </c>
    </row>
    <row r="864" spans="1:8" ht="13.8" thickBot="1">
      <c r="A864" s="13">
        <v>86.1</v>
      </c>
      <c r="B864" s="14">
        <v>0.84575999999999996</v>
      </c>
      <c r="C864" s="10">
        <f t="shared" si="52"/>
        <v>-3.0999999999989504E-3</v>
      </c>
      <c r="D864" s="11">
        <f t="shared" si="53"/>
        <v>1.1126699999999095</v>
      </c>
      <c r="E864" s="13">
        <v>86.1</v>
      </c>
      <c r="F864" s="14">
        <v>0.84652000000000005</v>
      </c>
      <c r="G864" s="10">
        <f t="shared" si="54"/>
        <v>-3.1000000000000602E-3</v>
      </c>
      <c r="H864" s="11">
        <f t="shared" si="55"/>
        <v>1.1134300000000052</v>
      </c>
    </row>
    <row r="865" spans="1:8" ht="13.8" thickBot="1">
      <c r="A865" s="13">
        <v>86.2</v>
      </c>
      <c r="B865" s="14">
        <v>0.84545000000000003</v>
      </c>
      <c r="C865" s="10">
        <f t="shared" si="52"/>
        <v>-3.0000000000009503E-3</v>
      </c>
      <c r="D865" s="11">
        <f t="shared" si="53"/>
        <v>1.1040500000000819</v>
      </c>
      <c r="E865" s="13">
        <v>86.2</v>
      </c>
      <c r="F865" s="14">
        <v>0.84621000000000002</v>
      </c>
      <c r="G865" s="10">
        <f t="shared" si="54"/>
        <v>-2.9999999999998396E-3</v>
      </c>
      <c r="H865" s="11">
        <f t="shared" si="55"/>
        <v>1.1048099999999863</v>
      </c>
    </row>
    <row r="866" spans="1:8" ht="13.8" thickBot="1">
      <c r="A866" s="13">
        <v>86.3</v>
      </c>
      <c r="B866" s="14">
        <v>0.84514999999999996</v>
      </c>
      <c r="C866" s="10">
        <f t="shared" si="52"/>
        <v>-3.0999999999989504E-3</v>
      </c>
      <c r="D866" s="11">
        <f t="shared" si="53"/>
        <v>1.1126799999999093</v>
      </c>
      <c r="E866" s="13">
        <v>86.3</v>
      </c>
      <c r="F866" s="14">
        <v>0.84591000000000005</v>
      </c>
      <c r="G866" s="10">
        <f t="shared" si="54"/>
        <v>-3.1000000000000602E-3</v>
      </c>
      <c r="H866" s="11">
        <f t="shared" si="55"/>
        <v>1.1134400000000051</v>
      </c>
    </row>
    <row r="867" spans="1:8" ht="13.8" thickBot="1">
      <c r="A867" s="13">
        <v>86.4</v>
      </c>
      <c r="B867" s="14">
        <v>0.84484000000000004</v>
      </c>
      <c r="C867" s="10">
        <f t="shared" si="52"/>
        <v>-3.0000000000009503E-3</v>
      </c>
      <c r="D867" s="11">
        <f t="shared" si="53"/>
        <v>1.1040400000000821</v>
      </c>
      <c r="E867" s="13">
        <v>86.4</v>
      </c>
      <c r="F867" s="14">
        <v>0.84560000000000002</v>
      </c>
      <c r="G867" s="10">
        <f t="shared" si="54"/>
        <v>-2.9999999999998396E-3</v>
      </c>
      <c r="H867" s="11">
        <f t="shared" si="55"/>
        <v>1.1047999999999862</v>
      </c>
    </row>
    <row r="868" spans="1:8" ht="13.8" thickBot="1">
      <c r="A868" s="13">
        <v>86.5</v>
      </c>
      <c r="B868" s="14">
        <v>0.84453999999999996</v>
      </c>
      <c r="C868" s="10">
        <f t="shared" si="52"/>
        <v>-3.0999999999993906E-3</v>
      </c>
      <c r="D868" s="11">
        <f t="shared" si="53"/>
        <v>1.1126899999999471</v>
      </c>
      <c r="E868" s="13">
        <v>86.5</v>
      </c>
      <c r="F868" s="14">
        <v>0.84530000000000005</v>
      </c>
      <c r="G868" s="10">
        <f t="shared" si="54"/>
        <v>-3.1000000000005008E-3</v>
      </c>
      <c r="H868" s="11">
        <f t="shared" si="55"/>
        <v>1.1134500000000433</v>
      </c>
    </row>
    <row r="869" spans="1:8" ht="13.8" thickBot="1">
      <c r="A869" s="13">
        <v>86.6</v>
      </c>
      <c r="B869" s="14">
        <v>0.84423000000000004</v>
      </c>
      <c r="C869" s="10">
        <f t="shared" si="52"/>
        <v>-3.1000000000000602E-3</v>
      </c>
      <c r="D869" s="11">
        <f t="shared" si="53"/>
        <v>1.1126900000000053</v>
      </c>
      <c r="E869" s="13">
        <v>86.6</v>
      </c>
      <c r="F869" s="14">
        <v>0.84499000000000002</v>
      </c>
      <c r="G869" s="10">
        <f t="shared" si="54"/>
        <v>-3.1000000000000602E-3</v>
      </c>
      <c r="H869" s="11">
        <f t="shared" si="55"/>
        <v>1.1134500000000052</v>
      </c>
    </row>
    <row r="870" spans="1:8" ht="13.8" thickBot="1">
      <c r="A870" s="13">
        <v>86.7</v>
      </c>
      <c r="B870" s="14">
        <v>0.84392</v>
      </c>
      <c r="C870" s="10">
        <f t="shared" si="52"/>
        <v>-2.9999999999998396E-3</v>
      </c>
      <c r="D870" s="11">
        <f t="shared" si="53"/>
        <v>1.104019999999986</v>
      </c>
      <c r="E870" s="13">
        <v>86.7</v>
      </c>
      <c r="F870" s="14">
        <v>0.84467999999999999</v>
      </c>
      <c r="G870" s="10">
        <f t="shared" si="54"/>
        <v>-2.9999999999998396E-3</v>
      </c>
      <c r="H870" s="11">
        <f t="shared" si="55"/>
        <v>1.1047799999999861</v>
      </c>
    </row>
    <row r="871" spans="1:8" ht="13.8" thickBot="1">
      <c r="A871" s="13">
        <v>86.8</v>
      </c>
      <c r="B871" s="14">
        <v>0.84362000000000004</v>
      </c>
      <c r="C871" s="10">
        <f t="shared" si="52"/>
        <v>-3.1000000000000602E-3</v>
      </c>
      <c r="D871" s="11">
        <f t="shared" si="53"/>
        <v>1.1127000000000051</v>
      </c>
      <c r="E871" s="13">
        <v>86.8</v>
      </c>
      <c r="F871" s="14">
        <v>0.84438000000000002</v>
      </c>
      <c r="G871" s="10">
        <f t="shared" si="54"/>
        <v>-3.1000000000000602E-3</v>
      </c>
      <c r="H871" s="11">
        <f t="shared" si="55"/>
        <v>1.1134600000000052</v>
      </c>
    </row>
    <row r="872" spans="1:8" ht="13.8" thickBot="1">
      <c r="A872" s="13">
        <v>86.9</v>
      </c>
      <c r="B872" s="14">
        <v>0.84331</v>
      </c>
      <c r="C872" s="10">
        <f t="shared" si="52"/>
        <v>-3.1000000000005008E-3</v>
      </c>
      <c r="D872" s="11">
        <f t="shared" si="53"/>
        <v>1.1127000000000435</v>
      </c>
      <c r="E872" s="13">
        <v>86.9</v>
      </c>
      <c r="F872" s="14">
        <v>0.84406999999999999</v>
      </c>
      <c r="G872" s="10">
        <f t="shared" si="54"/>
        <v>-3.1000000000005008E-3</v>
      </c>
      <c r="H872" s="11">
        <f t="shared" si="55"/>
        <v>1.1134600000000434</v>
      </c>
    </row>
    <row r="873" spans="1:8" ht="13.8" thickBot="1">
      <c r="A873" s="8">
        <v>87</v>
      </c>
      <c r="B873" s="17">
        <v>0.84299999999999997</v>
      </c>
      <c r="C873" s="10">
        <f t="shared" si="52"/>
        <v>-3.0999999999993906E-3</v>
      </c>
      <c r="D873" s="11">
        <f t="shared" si="53"/>
        <v>1.112699999999947</v>
      </c>
      <c r="E873" s="8">
        <v>87</v>
      </c>
      <c r="F873" s="17">
        <v>0.84375999999999995</v>
      </c>
      <c r="G873" s="10">
        <f t="shared" si="54"/>
        <v>-3.0999999999993906E-3</v>
      </c>
      <c r="H873" s="11">
        <f t="shared" si="55"/>
        <v>1.1134599999999468</v>
      </c>
    </row>
    <row r="874" spans="1:8" ht="13.8" thickBot="1">
      <c r="A874" s="13">
        <v>87.1</v>
      </c>
      <c r="B874" s="14">
        <v>0.84269000000000005</v>
      </c>
      <c r="C874" s="10">
        <f t="shared" si="52"/>
        <v>-3.1000000000000602E-3</v>
      </c>
      <c r="D874" s="11">
        <f t="shared" si="53"/>
        <v>1.1127000000000054</v>
      </c>
      <c r="E874" s="13">
        <v>87.1</v>
      </c>
      <c r="F874" s="14">
        <v>0.84345000000000003</v>
      </c>
      <c r="G874" s="10">
        <f t="shared" si="54"/>
        <v>-3.1000000000000602E-3</v>
      </c>
      <c r="H874" s="11">
        <f t="shared" si="55"/>
        <v>1.1134600000000052</v>
      </c>
    </row>
    <row r="875" spans="1:8" ht="13.8" thickBot="1">
      <c r="A875" s="13">
        <v>87.2</v>
      </c>
      <c r="B875" s="14">
        <v>0.84238000000000002</v>
      </c>
      <c r="C875" s="10">
        <f t="shared" si="52"/>
        <v>-3.1000000000005008E-3</v>
      </c>
      <c r="D875" s="11">
        <f t="shared" si="53"/>
        <v>1.1127000000000438</v>
      </c>
      <c r="E875" s="13">
        <v>87.2</v>
      </c>
      <c r="F875" s="14">
        <v>0.84314</v>
      </c>
      <c r="G875" s="10">
        <f t="shared" si="54"/>
        <v>-3.1000000000005008E-3</v>
      </c>
      <c r="H875" s="11">
        <f t="shared" si="55"/>
        <v>1.1134600000000436</v>
      </c>
    </row>
    <row r="876" spans="1:8" ht="13.8" thickBot="1">
      <c r="A876" s="13">
        <v>87.3</v>
      </c>
      <c r="B876" s="14">
        <v>0.84206999999999999</v>
      </c>
      <c r="C876" s="10">
        <f t="shared" si="52"/>
        <v>-3.1000000000000602E-3</v>
      </c>
      <c r="D876" s="11">
        <f t="shared" si="53"/>
        <v>1.1127000000000051</v>
      </c>
      <c r="E876" s="13">
        <v>87.3</v>
      </c>
      <c r="F876" s="14">
        <v>0.84282999999999997</v>
      </c>
      <c r="G876" s="10">
        <f t="shared" si="54"/>
        <v>-3.0999999999989504E-3</v>
      </c>
      <c r="H876" s="11">
        <f t="shared" si="55"/>
        <v>1.1134599999999084</v>
      </c>
    </row>
    <row r="877" spans="1:8" ht="13.8" thickBot="1">
      <c r="A877" s="13">
        <v>87.4</v>
      </c>
      <c r="B877" s="14">
        <v>0.84175999999999995</v>
      </c>
      <c r="C877" s="10">
        <f t="shared" si="52"/>
        <v>-3.0999999999993906E-3</v>
      </c>
      <c r="D877" s="11">
        <f t="shared" si="53"/>
        <v>1.1126999999999467</v>
      </c>
      <c r="E877" s="13">
        <v>87.4</v>
      </c>
      <c r="F877" s="14">
        <v>0.84252000000000005</v>
      </c>
      <c r="G877" s="10">
        <f t="shared" si="54"/>
        <v>-3.1000000000005008E-3</v>
      </c>
      <c r="H877" s="11">
        <f t="shared" si="55"/>
        <v>1.1134600000000439</v>
      </c>
    </row>
    <row r="878" spans="1:8" ht="13.8" thickBot="1">
      <c r="A878" s="13">
        <v>87.5</v>
      </c>
      <c r="B878" s="14">
        <v>0.84145000000000003</v>
      </c>
      <c r="C878" s="10">
        <f t="shared" si="52"/>
        <v>-3.1000000000005008E-3</v>
      </c>
      <c r="D878" s="11">
        <f t="shared" si="53"/>
        <v>1.1127000000000438</v>
      </c>
      <c r="E878" s="13">
        <v>87.5</v>
      </c>
      <c r="F878" s="14">
        <v>0.84221000000000001</v>
      </c>
      <c r="G878" s="10">
        <f t="shared" si="54"/>
        <v>-3.1000000000005008E-3</v>
      </c>
      <c r="H878" s="11">
        <f t="shared" si="55"/>
        <v>1.1134600000000439</v>
      </c>
    </row>
    <row r="879" spans="1:8" ht="13.8" thickBot="1">
      <c r="A879" s="13">
        <v>87.6</v>
      </c>
      <c r="B879" s="14">
        <v>0.84114</v>
      </c>
      <c r="C879" s="10">
        <f t="shared" si="52"/>
        <v>-3.1999999999995973E-3</v>
      </c>
      <c r="D879" s="11">
        <f t="shared" si="53"/>
        <v>1.1214599999999648</v>
      </c>
      <c r="E879" s="13">
        <v>87.6</v>
      </c>
      <c r="F879" s="14">
        <v>0.84189999999999998</v>
      </c>
      <c r="G879" s="10">
        <f t="shared" si="54"/>
        <v>-3.1999999999995973E-3</v>
      </c>
      <c r="H879" s="11">
        <f t="shared" si="55"/>
        <v>1.1222199999999647</v>
      </c>
    </row>
    <row r="880" spans="1:8" ht="13.8" thickBot="1">
      <c r="A880" s="13">
        <v>87.7</v>
      </c>
      <c r="B880" s="14">
        <v>0.84082000000000001</v>
      </c>
      <c r="C880" s="10">
        <f t="shared" si="52"/>
        <v>-3.1000000000005008E-3</v>
      </c>
      <c r="D880" s="11">
        <f t="shared" si="53"/>
        <v>1.1126900000000439</v>
      </c>
      <c r="E880" s="13">
        <v>87.7</v>
      </c>
      <c r="F880" s="14">
        <v>0.84157999999999999</v>
      </c>
      <c r="G880" s="10">
        <f t="shared" si="54"/>
        <v>-3.1000000000005008E-3</v>
      </c>
      <c r="H880" s="11">
        <f t="shared" si="55"/>
        <v>1.1134500000000438</v>
      </c>
    </row>
    <row r="881" spans="1:8" ht="13.8" thickBot="1">
      <c r="A881" s="13">
        <v>87.8</v>
      </c>
      <c r="B881" s="14">
        <v>0.84050999999999998</v>
      </c>
      <c r="C881" s="10">
        <f t="shared" si="52"/>
        <v>-3.1000000000000602E-3</v>
      </c>
      <c r="D881" s="11">
        <f t="shared" si="53"/>
        <v>1.1126900000000053</v>
      </c>
      <c r="E881" s="13">
        <v>87.8</v>
      </c>
      <c r="F881" s="14">
        <v>0.84126999999999996</v>
      </c>
      <c r="G881" s="10">
        <f t="shared" si="54"/>
        <v>-3.0999999999989504E-3</v>
      </c>
      <c r="H881" s="11">
        <f t="shared" si="55"/>
        <v>1.1134499999999079</v>
      </c>
    </row>
    <row r="882" spans="1:8" ht="13.8" thickBot="1">
      <c r="A882" s="13">
        <v>87.9</v>
      </c>
      <c r="B882" s="14">
        <v>0.84019999999999995</v>
      </c>
      <c r="C882" s="10">
        <f t="shared" si="52"/>
        <v>-3.2000000000000509E-3</v>
      </c>
      <c r="D882" s="11">
        <f t="shared" si="53"/>
        <v>1.1214800000000045</v>
      </c>
      <c r="E882" s="13">
        <v>87.9</v>
      </c>
      <c r="F882" s="14">
        <v>0.84096000000000004</v>
      </c>
      <c r="G882" s="10">
        <f t="shared" si="54"/>
        <v>-3.2000000000000509E-3</v>
      </c>
      <c r="H882" s="11">
        <f t="shared" si="55"/>
        <v>1.1222400000000046</v>
      </c>
    </row>
    <row r="883" spans="1:8" ht="13.8" thickBot="1">
      <c r="A883" s="8">
        <v>88</v>
      </c>
      <c r="B883" s="17">
        <v>0.83987999999999996</v>
      </c>
      <c r="C883" s="10">
        <f t="shared" si="52"/>
        <v>-3.0999999999993906E-3</v>
      </c>
      <c r="D883" s="11">
        <f t="shared" si="53"/>
        <v>1.1126799999999464</v>
      </c>
      <c r="E883" s="8">
        <v>88</v>
      </c>
      <c r="F883" s="17">
        <v>0.84064000000000005</v>
      </c>
      <c r="G883" s="10">
        <f t="shared" si="54"/>
        <v>-3.1000000000005008E-3</v>
      </c>
      <c r="H883" s="11">
        <f t="shared" si="55"/>
        <v>1.1134400000000442</v>
      </c>
    </row>
    <row r="884" spans="1:8" ht="13.8" thickBot="1">
      <c r="A884" s="13">
        <v>88.1</v>
      </c>
      <c r="B884" s="14">
        <v>0.83957000000000004</v>
      </c>
      <c r="C884" s="10">
        <f t="shared" si="52"/>
        <v>-3.1999999999995973E-3</v>
      </c>
      <c r="D884" s="11">
        <f t="shared" si="53"/>
        <v>1.1214899999999646</v>
      </c>
      <c r="E884" s="13">
        <v>88.1</v>
      </c>
      <c r="F884" s="14">
        <v>0.84033000000000002</v>
      </c>
      <c r="G884" s="10">
        <f t="shared" si="54"/>
        <v>-3.1999999999995973E-3</v>
      </c>
      <c r="H884" s="11">
        <f t="shared" si="55"/>
        <v>1.1222499999999647</v>
      </c>
    </row>
    <row r="885" spans="1:8" ht="13.8" thickBot="1">
      <c r="A885" s="13">
        <v>88.2</v>
      </c>
      <c r="B885" s="14">
        <v>0.83925000000000005</v>
      </c>
      <c r="C885" s="10">
        <f t="shared" si="52"/>
        <v>-3.2000000000011616E-3</v>
      </c>
      <c r="D885" s="11">
        <f t="shared" si="53"/>
        <v>1.1214900000001025</v>
      </c>
      <c r="E885" s="13">
        <v>88.2</v>
      </c>
      <c r="F885" s="14">
        <v>0.84001000000000003</v>
      </c>
      <c r="G885" s="10">
        <f t="shared" si="54"/>
        <v>-3.2000000000000509E-3</v>
      </c>
      <c r="H885" s="11">
        <f t="shared" si="55"/>
        <v>1.1222500000000044</v>
      </c>
    </row>
    <row r="886" spans="1:8" ht="13.8" thickBot="1">
      <c r="A886" s="13">
        <v>88.3</v>
      </c>
      <c r="B886" s="14">
        <v>0.83892999999999995</v>
      </c>
      <c r="C886" s="10">
        <f t="shared" si="52"/>
        <v>-3.0999999999989504E-3</v>
      </c>
      <c r="D886" s="11">
        <f t="shared" si="53"/>
        <v>1.1126599999999072</v>
      </c>
      <c r="E886" s="13">
        <v>88.3</v>
      </c>
      <c r="F886" s="14">
        <v>0.83969000000000005</v>
      </c>
      <c r="G886" s="10">
        <f t="shared" si="54"/>
        <v>-3.1000000000000602E-3</v>
      </c>
      <c r="H886" s="11">
        <f t="shared" si="55"/>
        <v>1.1134200000000054</v>
      </c>
    </row>
    <row r="887" spans="1:8" ht="13.8" thickBot="1">
      <c r="A887" s="13">
        <v>88.4</v>
      </c>
      <c r="B887" s="14">
        <v>0.83862000000000003</v>
      </c>
      <c r="C887" s="10">
        <f t="shared" si="52"/>
        <v>-3.2000000000000509E-3</v>
      </c>
      <c r="D887" s="11">
        <f t="shared" si="53"/>
        <v>1.1215000000000046</v>
      </c>
      <c r="E887" s="13">
        <v>88.4</v>
      </c>
      <c r="F887" s="14">
        <v>0.83938000000000001</v>
      </c>
      <c r="G887" s="10">
        <f t="shared" si="54"/>
        <v>-3.2000000000000509E-3</v>
      </c>
      <c r="H887" s="11">
        <f t="shared" si="55"/>
        <v>1.1222600000000047</v>
      </c>
    </row>
    <row r="888" spans="1:8" ht="13.8" thickBot="1">
      <c r="A888" s="13">
        <v>88.5</v>
      </c>
      <c r="B888" s="14">
        <v>0.83830000000000005</v>
      </c>
      <c r="C888" s="10">
        <f t="shared" si="52"/>
        <v>-3.2000000000011616E-3</v>
      </c>
      <c r="D888" s="11">
        <f t="shared" si="53"/>
        <v>1.1215000000001027</v>
      </c>
      <c r="E888" s="13">
        <v>88.5</v>
      </c>
      <c r="F888" s="14">
        <v>0.83906000000000003</v>
      </c>
      <c r="G888" s="10">
        <f t="shared" si="54"/>
        <v>-3.3000000000007125E-3</v>
      </c>
      <c r="H888" s="11">
        <f t="shared" si="55"/>
        <v>1.1311100000000631</v>
      </c>
    </row>
    <row r="889" spans="1:8" ht="13.8" thickBot="1">
      <c r="A889" s="13">
        <v>88.6</v>
      </c>
      <c r="B889" s="14">
        <v>0.83797999999999995</v>
      </c>
      <c r="C889" s="10">
        <f t="shared" si="52"/>
        <v>-3.1999999999995973E-3</v>
      </c>
      <c r="D889" s="11">
        <f t="shared" si="53"/>
        <v>1.1214999999999642</v>
      </c>
      <c r="E889" s="13">
        <v>88.6</v>
      </c>
      <c r="F889" s="14">
        <v>0.83872999999999998</v>
      </c>
      <c r="G889" s="10">
        <f t="shared" si="54"/>
        <v>-3.1999999999995973E-3</v>
      </c>
      <c r="H889" s="11">
        <f t="shared" si="55"/>
        <v>1.1222499999999642</v>
      </c>
    </row>
    <row r="890" spans="1:8" ht="13.8" thickBot="1">
      <c r="A890" s="13">
        <v>88.7</v>
      </c>
      <c r="B890" s="14">
        <v>0.83765999999999996</v>
      </c>
      <c r="C890" s="10">
        <f t="shared" si="52"/>
        <v>-3.2000000000000509E-3</v>
      </c>
      <c r="D890" s="11">
        <f t="shared" si="53"/>
        <v>1.1215000000000044</v>
      </c>
      <c r="E890" s="13">
        <v>88.7</v>
      </c>
      <c r="F890" s="14">
        <v>0.83840999999999999</v>
      </c>
      <c r="G890" s="10">
        <f t="shared" si="54"/>
        <v>-3.2000000000000509E-3</v>
      </c>
      <c r="H890" s="11">
        <f t="shared" si="55"/>
        <v>1.1222500000000044</v>
      </c>
    </row>
    <row r="891" spans="1:8" ht="13.8" thickBot="1">
      <c r="A891" s="13">
        <v>88.8</v>
      </c>
      <c r="B891" s="14">
        <v>0.83733999999999997</v>
      </c>
      <c r="C891" s="10">
        <f t="shared" si="52"/>
        <v>-3.1999999999995973E-3</v>
      </c>
      <c r="D891" s="11">
        <f t="shared" si="53"/>
        <v>1.1214999999999642</v>
      </c>
      <c r="E891" s="13">
        <v>88.8</v>
      </c>
      <c r="F891" s="14">
        <v>0.83809</v>
      </c>
      <c r="G891" s="10">
        <f t="shared" si="54"/>
        <v>-3.1999999999995973E-3</v>
      </c>
      <c r="H891" s="11">
        <f t="shared" si="55"/>
        <v>1.1222499999999642</v>
      </c>
    </row>
    <row r="892" spans="1:8" ht="13.8" thickBot="1">
      <c r="A892" s="13">
        <v>88.9</v>
      </c>
      <c r="B892" s="14">
        <v>0.83701999999999999</v>
      </c>
      <c r="C892" s="10">
        <f t="shared" si="52"/>
        <v>-3.2000000000000509E-3</v>
      </c>
      <c r="D892" s="11">
        <f t="shared" si="53"/>
        <v>1.1215000000000046</v>
      </c>
      <c r="E892" s="13">
        <v>88.9</v>
      </c>
      <c r="F892" s="14">
        <v>0.83777000000000001</v>
      </c>
      <c r="G892" s="10">
        <f t="shared" si="54"/>
        <v>-3.2000000000000509E-3</v>
      </c>
      <c r="H892" s="11">
        <f t="shared" si="55"/>
        <v>1.1222500000000046</v>
      </c>
    </row>
    <row r="893" spans="1:8" ht="13.8" thickBot="1">
      <c r="A893" s="8">
        <v>89</v>
      </c>
      <c r="B893" s="17">
        <v>0.8367</v>
      </c>
      <c r="C893" s="10">
        <f t="shared" si="52"/>
        <v>-3.2000000000000509E-3</v>
      </c>
      <c r="D893" s="11">
        <f t="shared" si="53"/>
        <v>1.1215000000000046</v>
      </c>
      <c r="E893" s="8">
        <v>89</v>
      </c>
      <c r="F893" s="17">
        <v>0.83745000000000003</v>
      </c>
      <c r="G893" s="10">
        <f t="shared" si="54"/>
        <v>-3.2000000000000509E-3</v>
      </c>
      <c r="H893" s="11">
        <f t="shared" si="55"/>
        <v>1.1222500000000046</v>
      </c>
    </row>
    <row r="894" spans="1:8" ht="13.8" thickBot="1">
      <c r="A894" s="13">
        <v>89.1</v>
      </c>
      <c r="B894" s="14">
        <v>0.83638000000000001</v>
      </c>
      <c r="C894" s="10">
        <f t="shared" si="52"/>
        <v>-3.3000000000002437E-3</v>
      </c>
      <c r="D894" s="11">
        <f t="shared" si="53"/>
        <v>1.1304100000000217</v>
      </c>
      <c r="E894" s="13">
        <v>89.1</v>
      </c>
      <c r="F894" s="14">
        <v>0.83713000000000004</v>
      </c>
      <c r="G894" s="10">
        <f t="shared" si="54"/>
        <v>-3.3000000000002437E-3</v>
      </c>
      <c r="H894" s="11">
        <f t="shared" si="55"/>
        <v>1.1311600000000217</v>
      </c>
    </row>
    <row r="895" spans="1:8" ht="13.8" thickBot="1">
      <c r="A895" s="13">
        <v>89.2</v>
      </c>
      <c r="B895" s="14">
        <v>0.83604999999999996</v>
      </c>
      <c r="C895" s="10">
        <f t="shared" si="52"/>
        <v>-3.2000000000000509E-3</v>
      </c>
      <c r="D895" s="11">
        <f t="shared" si="53"/>
        <v>1.1214900000000045</v>
      </c>
      <c r="E895" s="13">
        <v>89.2</v>
      </c>
      <c r="F895" s="14">
        <v>0.83679999999999999</v>
      </c>
      <c r="G895" s="10">
        <f t="shared" si="54"/>
        <v>-3.2000000000000509E-3</v>
      </c>
      <c r="H895" s="11">
        <f t="shared" si="55"/>
        <v>1.1222400000000046</v>
      </c>
    </row>
    <row r="896" spans="1:8" ht="13.8" thickBot="1">
      <c r="A896" s="13">
        <v>89.3</v>
      </c>
      <c r="B896" s="14">
        <v>0.83572999999999997</v>
      </c>
      <c r="C896" s="10">
        <f t="shared" si="52"/>
        <v>-3.2999999999991331E-3</v>
      </c>
      <c r="D896" s="11">
        <f t="shared" si="53"/>
        <v>1.1304199999999225</v>
      </c>
      <c r="E896" s="13">
        <v>89.3</v>
      </c>
      <c r="F896" s="14">
        <v>0.83648</v>
      </c>
      <c r="G896" s="10">
        <f t="shared" si="54"/>
        <v>-3.3000000000002437E-3</v>
      </c>
      <c r="H896" s="11">
        <f t="shared" si="55"/>
        <v>1.1311700000000218</v>
      </c>
    </row>
    <row r="897" spans="1:8" ht="13.8" thickBot="1">
      <c r="A897" s="13">
        <v>89.4</v>
      </c>
      <c r="B897" s="14">
        <v>0.83540000000000003</v>
      </c>
      <c r="C897" s="10">
        <f t="shared" si="52"/>
        <v>-3.2000000000000509E-3</v>
      </c>
      <c r="D897" s="11">
        <f t="shared" si="53"/>
        <v>1.1214800000000045</v>
      </c>
      <c r="E897" s="13">
        <v>89.4</v>
      </c>
      <c r="F897" s="14">
        <v>0.83614999999999995</v>
      </c>
      <c r="G897" s="10">
        <f t="shared" si="54"/>
        <v>-3.2000000000000509E-3</v>
      </c>
      <c r="H897" s="11">
        <f t="shared" si="55"/>
        <v>1.1222300000000045</v>
      </c>
    </row>
    <row r="898" spans="1:8" ht="13.8" thickBot="1">
      <c r="A898" s="13">
        <v>89.5</v>
      </c>
      <c r="B898" s="14">
        <v>0.83508000000000004</v>
      </c>
      <c r="C898" s="10">
        <f t="shared" si="52"/>
        <v>-3.3000000000007125E-3</v>
      </c>
      <c r="D898" s="11">
        <f t="shared" si="53"/>
        <v>1.130430000000064</v>
      </c>
      <c r="E898" s="13">
        <v>89.5</v>
      </c>
      <c r="F898" s="14">
        <v>0.83582999999999996</v>
      </c>
      <c r="G898" s="10">
        <f t="shared" si="54"/>
        <v>-3.2999999999996019E-3</v>
      </c>
      <c r="H898" s="11">
        <f t="shared" si="55"/>
        <v>1.1311799999999643</v>
      </c>
    </row>
    <row r="899" spans="1:8" ht="13.8" thickBot="1">
      <c r="A899" s="13">
        <v>89.6</v>
      </c>
      <c r="B899" s="14">
        <v>0.83474999999999999</v>
      </c>
      <c r="C899" s="10">
        <f t="shared" si="52"/>
        <v>-3.2999999999991331E-3</v>
      </c>
      <c r="D899" s="11">
        <f t="shared" si="53"/>
        <v>1.1304299999999223</v>
      </c>
      <c r="E899" s="13">
        <v>89.6</v>
      </c>
      <c r="F899" s="14">
        <v>0.83550000000000002</v>
      </c>
      <c r="G899" s="10">
        <f t="shared" si="54"/>
        <v>-3.3000000000002437E-3</v>
      </c>
      <c r="H899" s="11">
        <f t="shared" si="55"/>
        <v>1.1311800000000218</v>
      </c>
    </row>
    <row r="900" spans="1:8" ht="13.8" thickBot="1">
      <c r="A900" s="13">
        <v>89.7</v>
      </c>
      <c r="B900" s="14">
        <v>0.83442000000000005</v>
      </c>
      <c r="C900" s="10">
        <f t="shared" ref="C900:C963" si="56">SLOPE(B900:B901,A900:A901)</f>
        <v>-3.2000000000011616E-3</v>
      </c>
      <c r="D900" s="11">
        <f t="shared" ref="D900:D963" si="57">INTERCEPT(B900:B901,A900:A901)</f>
        <v>1.1214600000001043</v>
      </c>
      <c r="E900" s="13">
        <v>89.7</v>
      </c>
      <c r="F900" s="14">
        <v>0.83516999999999997</v>
      </c>
      <c r="G900" s="10">
        <f t="shared" ref="G900:G963" si="58">SLOPE(F900:F901,E900:E901)</f>
        <v>-3.2000000000000509E-3</v>
      </c>
      <c r="H900" s="11">
        <f t="shared" ref="H900:H963" si="59">INTERCEPT(F900:F901,E900:E901)</f>
        <v>1.1222100000000046</v>
      </c>
    </row>
    <row r="901" spans="1:8" ht="13.8" thickBot="1">
      <c r="A901" s="13">
        <v>89.8</v>
      </c>
      <c r="B901" s="14">
        <v>0.83409999999999995</v>
      </c>
      <c r="C901" s="10">
        <f t="shared" si="56"/>
        <v>-3.2999999999991331E-3</v>
      </c>
      <c r="D901" s="11">
        <f t="shared" si="57"/>
        <v>1.130439999999922</v>
      </c>
      <c r="E901" s="13">
        <v>89.8</v>
      </c>
      <c r="F901" s="14">
        <v>0.83484999999999998</v>
      </c>
      <c r="G901" s="10">
        <f t="shared" si="58"/>
        <v>-3.2999999999991331E-3</v>
      </c>
      <c r="H901" s="11">
        <f t="shared" si="59"/>
        <v>1.131189999999922</v>
      </c>
    </row>
    <row r="902" spans="1:8" ht="13.8" thickBot="1">
      <c r="A902" s="13">
        <v>89.9</v>
      </c>
      <c r="B902" s="14">
        <v>0.83377000000000001</v>
      </c>
      <c r="C902" s="10">
        <f t="shared" si="56"/>
        <v>-3.3000000000007125E-3</v>
      </c>
      <c r="D902" s="11">
        <f t="shared" si="57"/>
        <v>1.1304400000000641</v>
      </c>
      <c r="E902" s="13">
        <v>89.9</v>
      </c>
      <c r="F902" s="14">
        <v>0.83452000000000004</v>
      </c>
      <c r="G902" s="10">
        <f t="shared" si="58"/>
        <v>-3.3000000000007125E-3</v>
      </c>
      <c r="H902" s="11">
        <f t="shared" si="59"/>
        <v>1.1311900000000641</v>
      </c>
    </row>
    <row r="903" spans="1:8" ht="13.8" thickBot="1">
      <c r="A903" s="8">
        <v>90</v>
      </c>
      <c r="B903" s="17">
        <v>0.83343999999999996</v>
      </c>
      <c r="C903" s="10">
        <f t="shared" si="56"/>
        <v>-3.2999999999996019E-3</v>
      </c>
      <c r="D903" s="11">
        <f t="shared" si="57"/>
        <v>1.1304399999999641</v>
      </c>
      <c r="E903" s="8">
        <v>90</v>
      </c>
      <c r="F903" s="17">
        <v>0.83418999999999999</v>
      </c>
      <c r="G903" s="10">
        <f t="shared" si="58"/>
        <v>-3.2999999999996019E-3</v>
      </c>
      <c r="H903" s="11">
        <f t="shared" si="59"/>
        <v>1.1311899999999642</v>
      </c>
    </row>
    <row r="904" spans="1:8" ht="13.8" thickBot="1">
      <c r="A904" s="13">
        <v>90.1</v>
      </c>
      <c r="B904" s="14">
        <v>0.83311000000000002</v>
      </c>
      <c r="C904" s="10">
        <f t="shared" si="56"/>
        <v>-3.3000000000002437E-3</v>
      </c>
      <c r="D904" s="11">
        <f t="shared" si="57"/>
        <v>1.1304400000000221</v>
      </c>
      <c r="E904" s="13">
        <v>90.1</v>
      </c>
      <c r="F904" s="14">
        <v>0.83386000000000005</v>
      </c>
      <c r="G904" s="10">
        <f t="shared" si="58"/>
        <v>-3.3000000000002437E-3</v>
      </c>
      <c r="H904" s="11">
        <f t="shared" si="59"/>
        <v>1.1311900000000221</v>
      </c>
    </row>
    <row r="905" spans="1:8" ht="13.8" thickBot="1">
      <c r="A905" s="13">
        <v>90.2</v>
      </c>
      <c r="B905" s="14">
        <v>0.83277999999999996</v>
      </c>
      <c r="C905" s="10">
        <f t="shared" si="56"/>
        <v>-3.2999999999996019E-3</v>
      </c>
      <c r="D905" s="11">
        <f t="shared" si="57"/>
        <v>1.1304399999999641</v>
      </c>
      <c r="E905" s="13">
        <v>90.2</v>
      </c>
      <c r="F905" s="14">
        <v>0.83352999999999999</v>
      </c>
      <c r="G905" s="10">
        <f t="shared" si="58"/>
        <v>-3.2999999999996019E-3</v>
      </c>
      <c r="H905" s="11">
        <f t="shared" si="59"/>
        <v>1.1311899999999642</v>
      </c>
    </row>
    <row r="906" spans="1:8" ht="13.8" thickBot="1">
      <c r="A906" s="13">
        <v>90.3</v>
      </c>
      <c r="B906" s="14">
        <v>0.83245000000000002</v>
      </c>
      <c r="C906" s="10">
        <f t="shared" si="56"/>
        <v>-3.3999999999997799E-3</v>
      </c>
      <c r="D906" s="11">
        <f t="shared" si="57"/>
        <v>1.1394699999999802</v>
      </c>
      <c r="E906" s="13">
        <v>90.3</v>
      </c>
      <c r="F906" s="14">
        <v>0.83320000000000005</v>
      </c>
      <c r="G906" s="10">
        <f t="shared" si="58"/>
        <v>-3.3999999999997799E-3</v>
      </c>
      <c r="H906" s="11">
        <f t="shared" si="59"/>
        <v>1.1402199999999802</v>
      </c>
    </row>
    <row r="907" spans="1:8" ht="13.8" thickBot="1">
      <c r="A907" s="13">
        <v>90.4</v>
      </c>
      <c r="B907" s="14">
        <v>0.83211000000000002</v>
      </c>
      <c r="C907" s="10">
        <f t="shared" si="56"/>
        <v>-3.3000000000007125E-3</v>
      </c>
      <c r="D907" s="11">
        <f t="shared" si="57"/>
        <v>1.1304300000000644</v>
      </c>
      <c r="E907" s="13">
        <v>90.4</v>
      </c>
      <c r="F907" s="14">
        <v>0.83286000000000004</v>
      </c>
      <c r="G907" s="10">
        <f t="shared" si="58"/>
        <v>-3.3000000000007125E-3</v>
      </c>
      <c r="H907" s="11">
        <f t="shared" si="59"/>
        <v>1.1311800000000645</v>
      </c>
    </row>
    <row r="908" spans="1:8" ht="13.8" thickBot="1">
      <c r="A908" s="13">
        <v>90.5</v>
      </c>
      <c r="B908" s="14">
        <v>0.83177999999999996</v>
      </c>
      <c r="C908" s="10">
        <f t="shared" si="56"/>
        <v>-3.4000000000002631E-3</v>
      </c>
      <c r="D908" s="11">
        <f t="shared" si="57"/>
        <v>1.1394800000000238</v>
      </c>
      <c r="E908" s="13">
        <v>90.5</v>
      </c>
      <c r="F908" s="14">
        <v>0.83252999999999999</v>
      </c>
      <c r="G908" s="10">
        <f t="shared" si="58"/>
        <v>-3.4000000000002631E-3</v>
      </c>
      <c r="H908" s="11">
        <f t="shared" si="59"/>
        <v>1.1402300000000238</v>
      </c>
    </row>
    <row r="909" spans="1:8" ht="13.8" thickBot="1">
      <c r="A909" s="13">
        <v>90.6</v>
      </c>
      <c r="B909" s="14">
        <v>0.83143999999999996</v>
      </c>
      <c r="C909" s="10">
        <f t="shared" si="56"/>
        <v>-3.2999999999991331E-3</v>
      </c>
      <c r="D909" s="11">
        <f t="shared" si="57"/>
        <v>1.1304199999999214</v>
      </c>
      <c r="E909" s="13">
        <v>90.6</v>
      </c>
      <c r="F909" s="14">
        <v>0.83218999999999999</v>
      </c>
      <c r="G909" s="10">
        <f t="shared" si="58"/>
        <v>-3.2999999999991331E-3</v>
      </c>
      <c r="H909" s="11">
        <f t="shared" si="59"/>
        <v>1.1311699999999214</v>
      </c>
    </row>
    <row r="910" spans="1:8" ht="13.8" thickBot="1">
      <c r="A910" s="13">
        <v>90.7</v>
      </c>
      <c r="B910" s="14">
        <v>0.83111000000000002</v>
      </c>
      <c r="C910" s="10">
        <f t="shared" si="56"/>
        <v>-3.4000000000002631E-3</v>
      </c>
      <c r="D910" s="11">
        <f t="shared" si="57"/>
        <v>1.1394900000000239</v>
      </c>
      <c r="E910" s="13">
        <v>90.7</v>
      </c>
      <c r="F910" s="14">
        <v>0.83186000000000004</v>
      </c>
      <c r="G910" s="10">
        <f t="shared" si="58"/>
        <v>-3.4000000000002631E-3</v>
      </c>
      <c r="H910" s="11">
        <f t="shared" si="59"/>
        <v>1.1402400000000239</v>
      </c>
    </row>
    <row r="911" spans="1:8" ht="13.8" thickBot="1">
      <c r="A911" s="13">
        <v>90.8</v>
      </c>
      <c r="B911" s="14">
        <v>0.83077000000000001</v>
      </c>
      <c r="C911" s="10">
        <f t="shared" si="56"/>
        <v>-3.3000000000002437E-3</v>
      </c>
      <c r="D911" s="11">
        <f t="shared" si="57"/>
        <v>1.1304100000000221</v>
      </c>
      <c r="E911" s="13">
        <v>90.8</v>
      </c>
      <c r="F911" s="14">
        <v>0.83152000000000004</v>
      </c>
      <c r="G911" s="10">
        <f t="shared" si="58"/>
        <v>-3.3000000000002437E-3</v>
      </c>
      <c r="H911" s="11">
        <f t="shared" si="59"/>
        <v>1.1311600000000221</v>
      </c>
    </row>
    <row r="912" spans="1:8" ht="13.8" thickBot="1">
      <c r="A912" s="13">
        <v>90.9</v>
      </c>
      <c r="B912" s="14">
        <v>0.83043999999999996</v>
      </c>
      <c r="C912" s="10">
        <f t="shared" si="56"/>
        <v>-3.4000000000002631E-3</v>
      </c>
      <c r="D912" s="11">
        <f t="shared" si="57"/>
        <v>1.1395000000000239</v>
      </c>
      <c r="E912" s="13">
        <v>90.9</v>
      </c>
      <c r="F912" s="14">
        <v>0.83118999999999998</v>
      </c>
      <c r="G912" s="10">
        <f t="shared" si="58"/>
        <v>-3.4000000000002631E-3</v>
      </c>
      <c r="H912" s="11">
        <f t="shared" si="59"/>
        <v>1.140250000000024</v>
      </c>
    </row>
    <row r="913" spans="1:8" ht="13.8" thickBot="1">
      <c r="A913" s="8">
        <v>91</v>
      </c>
      <c r="B913" s="17">
        <v>0.83009999999999995</v>
      </c>
      <c r="C913" s="10">
        <f t="shared" si="56"/>
        <v>-3.3999999999991528E-3</v>
      </c>
      <c r="D913" s="11">
        <f t="shared" si="57"/>
        <v>1.1394999999999229</v>
      </c>
      <c r="E913" s="8">
        <v>91</v>
      </c>
      <c r="F913" s="17">
        <v>0.83084999999999998</v>
      </c>
      <c r="G913" s="10">
        <f t="shared" si="58"/>
        <v>-3.4000000000002631E-3</v>
      </c>
      <c r="H913" s="11">
        <f t="shared" si="59"/>
        <v>1.140250000000024</v>
      </c>
    </row>
    <row r="914" spans="1:8" ht="13.8" thickBot="1">
      <c r="A914" s="13">
        <v>91.1</v>
      </c>
      <c r="B914" s="14">
        <v>0.82976000000000005</v>
      </c>
      <c r="C914" s="10">
        <f t="shared" si="56"/>
        <v>-3.3999999999997799E-3</v>
      </c>
      <c r="D914" s="11">
        <f t="shared" si="57"/>
        <v>1.13949999999998</v>
      </c>
      <c r="E914" s="13">
        <v>91.1</v>
      </c>
      <c r="F914" s="14">
        <v>0.83050999999999997</v>
      </c>
      <c r="G914" s="10">
        <f t="shared" si="58"/>
        <v>-3.3999999999997799E-3</v>
      </c>
      <c r="H914" s="11">
        <f t="shared" si="59"/>
        <v>1.14024999999998</v>
      </c>
    </row>
    <row r="915" spans="1:8" ht="13.8" thickBot="1">
      <c r="A915" s="13">
        <v>91.2</v>
      </c>
      <c r="B915" s="14">
        <v>0.82942000000000005</v>
      </c>
      <c r="C915" s="10">
        <f t="shared" si="56"/>
        <v>-3.4000000000002631E-3</v>
      </c>
      <c r="D915" s="11">
        <f t="shared" si="57"/>
        <v>1.1395000000000239</v>
      </c>
      <c r="E915" s="13">
        <v>91.2</v>
      </c>
      <c r="F915" s="14">
        <v>0.83016999999999996</v>
      </c>
      <c r="G915" s="10">
        <f t="shared" si="58"/>
        <v>-3.4000000000002631E-3</v>
      </c>
      <c r="H915" s="11">
        <f t="shared" si="59"/>
        <v>1.140250000000024</v>
      </c>
    </row>
    <row r="916" spans="1:8" ht="13.8" thickBot="1">
      <c r="A916" s="13">
        <v>91.3</v>
      </c>
      <c r="B916" s="14">
        <v>0.82908000000000004</v>
      </c>
      <c r="C916" s="10">
        <f t="shared" si="56"/>
        <v>-3.3999999999997799E-3</v>
      </c>
      <c r="D916" s="11">
        <f t="shared" si="57"/>
        <v>1.13949999999998</v>
      </c>
      <c r="E916" s="13">
        <v>91.3</v>
      </c>
      <c r="F916" s="14">
        <v>0.82982999999999996</v>
      </c>
      <c r="G916" s="10">
        <f t="shared" si="58"/>
        <v>-3.3999999999997799E-3</v>
      </c>
      <c r="H916" s="11">
        <f t="shared" si="59"/>
        <v>1.1402499999999798</v>
      </c>
    </row>
    <row r="917" spans="1:8" ht="13.8" thickBot="1">
      <c r="A917" s="13">
        <v>91.4</v>
      </c>
      <c r="B917" s="14">
        <v>0.82874000000000003</v>
      </c>
      <c r="C917" s="10">
        <f t="shared" si="56"/>
        <v>-3.5000000000009229E-3</v>
      </c>
      <c r="D917" s="11">
        <f t="shared" si="57"/>
        <v>1.1486400000000845</v>
      </c>
      <c r="E917" s="13">
        <v>91.4</v>
      </c>
      <c r="F917" s="14">
        <v>0.82948999999999995</v>
      </c>
      <c r="G917" s="10">
        <f t="shared" si="58"/>
        <v>-3.4999999999998132E-3</v>
      </c>
      <c r="H917" s="11">
        <f t="shared" si="59"/>
        <v>1.149389999999983</v>
      </c>
    </row>
    <row r="918" spans="1:8" ht="13.8" thickBot="1">
      <c r="A918" s="13">
        <v>91.5</v>
      </c>
      <c r="B918" s="14">
        <v>0.82838999999999996</v>
      </c>
      <c r="C918" s="10">
        <f t="shared" si="56"/>
        <v>-3.4000000000002631E-3</v>
      </c>
      <c r="D918" s="11">
        <f t="shared" si="57"/>
        <v>1.1394900000000241</v>
      </c>
      <c r="E918" s="13">
        <v>91.5</v>
      </c>
      <c r="F918" s="14">
        <v>0.82913999999999999</v>
      </c>
      <c r="G918" s="10">
        <f t="shared" si="58"/>
        <v>-3.4000000000002631E-3</v>
      </c>
      <c r="H918" s="11">
        <f t="shared" si="59"/>
        <v>1.1402400000000241</v>
      </c>
    </row>
    <row r="919" spans="1:8" ht="13.8" thickBot="1">
      <c r="A919" s="13">
        <v>91.6</v>
      </c>
      <c r="B919" s="14">
        <v>0.82804999999999995</v>
      </c>
      <c r="C919" s="10">
        <f t="shared" si="56"/>
        <v>-3.4999999999993162E-3</v>
      </c>
      <c r="D919" s="11">
        <f t="shared" si="57"/>
        <v>1.1486499999999373</v>
      </c>
      <c r="E919" s="13">
        <v>91.6</v>
      </c>
      <c r="F919" s="14">
        <v>0.82879999999999998</v>
      </c>
      <c r="G919" s="10">
        <f t="shared" si="58"/>
        <v>-3.4999999999993162E-3</v>
      </c>
      <c r="H919" s="11">
        <f t="shared" si="59"/>
        <v>1.1493999999999374</v>
      </c>
    </row>
    <row r="920" spans="1:8" ht="13.8" thickBot="1">
      <c r="A920" s="13">
        <v>91.7</v>
      </c>
      <c r="B920" s="14">
        <v>0.82769999999999999</v>
      </c>
      <c r="C920" s="10">
        <f t="shared" si="56"/>
        <v>-3.4000000000002631E-3</v>
      </c>
      <c r="D920" s="11">
        <f t="shared" si="57"/>
        <v>1.1394800000000243</v>
      </c>
      <c r="E920" s="13">
        <v>91.7</v>
      </c>
      <c r="F920" s="14">
        <v>0.82845000000000002</v>
      </c>
      <c r="G920" s="10">
        <f t="shared" si="58"/>
        <v>-3.4000000000002631E-3</v>
      </c>
      <c r="H920" s="11">
        <f t="shared" si="59"/>
        <v>1.1402300000000243</v>
      </c>
    </row>
    <row r="921" spans="1:8" ht="13.8" thickBot="1">
      <c r="A921" s="13">
        <v>91.8</v>
      </c>
      <c r="B921" s="14">
        <v>0.82735999999999998</v>
      </c>
      <c r="C921" s="10">
        <f t="shared" si="56"/>
        <v>-3.4999999999993162E-3</v>
      </c>
      <c r="D921" s="11">
        <f t="shared" si="57"/>
        <v>1.1486599999999372</v>
      </c>
      <c r="E921" s="13">
        <v>91.8</v>
      </c>
      <c r="F921" s="14">
        <v>0.82811000000000001</v>
      </c>
      <c r="G921" s="10">
        <f t="shared" si="58"/>
        <v>-3.5999999999999626E-3</v>
      </c>
      <c r="H921" s="11">
        <f t="shared" si="59"/>
        <v>1.1585899999999967</v>
      </c>
    </row>
    <row r="922" spans="1:8" ht="13.8" thickBot="1">
      <c r="A922" s="13">
        <v>91.9</v>
      </c>
      <c r="B922" s="14">
        <v>0.82701000000000002</v>
      </c>
      <c r="C922" s="10">
        <f t="shared" si="56"/>
        <v>-3.5000000000009229E-3</v>
      </c>
      <c r="D922" s="11">
        <f t="shared" si="57"/>
        <v>1.1486600000000848</v>
      </c>
      <c r="E922" s="13">
        <v>91.9</v>
      </c>
      <c r="F922" s="14">
        <v>0.82774999999999999</v>
      </c>
      <c r="G922" s="10">
        <f t="shared" si="58"/>
        <v>-3.4999999999998132E-3</v>
      </c>
      <c r="H922" s="11">
        <f t="shared" si="59"/>
        <v>1.1493999999999827</v>
      </c>
    </row>
    <row r="923" spans="1:8" ht="13.8" thickBot="1">
      <c r="A923" s="8">
        <v>92</v>
      </c>
      <c r="B923" s="17">
        <v>0.82665999999999995</v>
      </c>
      <c r="C923" s="10">
        <f t="shared" si="56"/>
        <v>-3.4999999999998132E-3</v>
      </c>
      <c r="D923" s="11">
        <f t="shared" si="57"/>
        <v>1.1486599999999827</v>
      </c>
      <c r="E923" s="8">
        <v>92</v>
      </c>
      <c r="F923" s="17">
        <v>0.82740000000000002</v>
      </c>
      <c r="G923" s="10">
        <f t="shared" si="58"/>
        <v>-3.5000000000009229E-3</v>
      </c>
      <c r="H923" s="11">
        <f t="shared" si="59"/>
        <v>1.1494000000000848</v>
      </c>
    </row>
    <row r="924" spans="1:8" ht="13.8" thickBot="1">
      <c r="A924" s="13">
        <v>92.1</v>
      </c>
      <c r="B924" s="14">
        <v>0.82630999999999999</v>
      </c>
      <c r="C924" s="10">
        <f t="shared" si="56"/>
        <v>-3.4999999999993162E-3</v>
      </c>
      <c r="D924" s="11">
        <f t="shared" si="57"/>
        <v>1.148659999999937</v>
      </c>
      <c r="E924" s="13">
        <v>92.1</v>
      </c>
      <c r="F924" s="14">
        <v>0.82704999999999995</v>
      </c>
      <c r="G924" s="10">
        <f t="shared" si="58"/>
        <v>-3.4999999999993162E-3</v>
      </c>
      <c r="H924" s="11">
        <f t="shared" si="59"/>
        <v>1.1493999999999369</v>
      </c>
    </row>
    <row r="925" spans="1:8" ht="13.8" thickBot="1">
      <c r="A925" s="13">
        <v>92.2</v>
      </c>
      <c r="B925" s="14">
        <v>0.82596000000000003</v>
      </c>
      <c r="C925" s="10">
        <f t="shared" si="56"/>
        <v>-3.5000000000009229E-3</v>
      </c>
      <c r="D925" s="11">
        <f t="shared" si="57"/>
        <v>1.1486600000000851</v>
      </c>
      <c r="E925" s="13">
        <v>92.2</v>
      </c>
      <c r="F925" s="14">
        <v>0.82669999999999999</v>
      </c>
      <c r="G925" s="10">
        <f t="shared" si="58"/>
        <v>-3.4999999999998132E-3</v>
      </c>
      <c r="H925" s="11">
        <f t="shared" si="59"/>
        <v>1.1493999999999827</v>
      </c>
    </row>
    <row r="926" spans="1:8" ht="13.8" thickBot="1">
      <c r="A926" s="13">
        <v>92.3</v>
      </c>
      <c r="B926" s="14">
        <v>0.82560999999999996</v>
      </c>
      <c r="C926" s="10">
        <f t="shared" si="56"/>
        <v>-3.4999999999993162E-3</v>
      </c>
      <c r="D926" s="11">
        <f t="shared" si="57"/>
        <v>1.1486599999999367</v>
      </c>
      <c r="E926" s="13">
        <v>92.3</v>
      </c>
      <c r="F926" s="14">
        <v>0.82635000000000003</v>
      </c>
      <c r="G926" s="10">
        <f t="shared" si="58"/>
        <v>-3.5000000000004259E-3</v>
      </c>
      <c r="H926" s="11">
        <f t="shared" si="59"/>
        <v>1.1494000000000393</v>
      </c>
    </row>
    <row r="927" spans="1:8" ht="13.8" thickBot="1">
      <c r="A927" s="13">
        <v>92.4</v>
      </c>
      <c r="B927" s="14">
        <v>0.82525999999999999</v>
      </c>
      <c r="C927" s="10">
        <f t="shared" si="56"/>
        <v>-3.4999999999998132E-3</v>
      </c>
      <c r="D927" s="11">
        <f t="shared" si="57"/>
        <v>1.1486599999999827</v>
      </c>
      <c r="E927" s="13">
        <v>92.4</v>
      </c>
      <c r="F927" s="14">
        <v>0.82599999999999996</v>
      </c>
      <c r="G927" s="10">
        <f t="shared" si="58"/>
        <v>-3.4999999999998132E-3</v>
      </c>
      <c r="H927" s="11">
        <f t="shared" si="59"/>
        <v>1.1493999999999827</v>
      </c>
    </row>
    <row r="928" spans="1:8" ht="13.8" thickBot="1">
      <c r="A928" s="13">
        <v>92.5</v>
      </c>
      <c r="B928" s="14">
        <v>0.82491000000000003</v>
      </c>
      <c r="C928" s="10">
        <f t="shared" si="56"/>
        <v>-3.6000000000004735E-3</v>
      </c>
      <c r="D928" s="11">
        <f t="shared" si="57"/>
        <v>1.1579100000000437</v>
      </c>
      <c r="E928" s="13">
        <v>92.5</v>
      </c>
      <c r="F928" s="14">
        <v>0.82565</v>
      </c>
      <c r="G928" s="10">
        <f t="shared" si="58"/>
        <v>-3.6000000000004735E-3</v>
      </c>
      <c r="H928" s="11">
        <f t="shared" si="59"/>
        <v>1.1586500000000437</v>
      </c>
    </row>
    <row r="929" spans="1:8" ht="13.8" thickBot="1">
      <c r="A929" s="13">
        <v>92.6</v>
      </c>
      <c r="B929" s="14">
        <v>0.82455000000000001</v>
      </c>
      <c r="C929" s="10">
        <f t="shared" si="56"/>
        <v>-3.4999999999993162E-3</v>
      </c>
      <c r="D929" s="11">
        <f t="shared" si="57"/>
        <v>1.1486499999999367</v>
      </c>
      <c r="E929" s="13">
        <v>92.6</v>
      </c>
      <c r="F929" s="14">
        <v>0.82528999999999997</v>
      </c>
      <c r="G929" s="10">
        <f t="shared" si="58"/>
        <v>-3.4999999999993162E-3</v>
      </c>
      <c r="H929" s="11">
        <f t="shared" si="59"/>
        <v>1.1493899999999366</v>
      </c>
    </row>
    <row r="930" spans="1:8" ht="13.8" thickBot="1">
      <c r="A930" s="13">
        <v>92.7</v>
      </c>
      <c r="B930" s="14">
        <v>0.82420000000000004</v>
      </c>
      <c r="C930" s="10">
        <f t="shared" si="56"/>
        <v>-3.6000000000004735E-3</v>
      </c>
      <c r="D930" s="11">
        <f t="shared" si="57"/>
        <v>1.1579200000000438</v>
      </c>
      <c r="E930" s="13">
        <v>92.7</v>
      </c>
      <c r="F930" s="14">
        <v>0.82494000000000001</v>
      </c>
      <c r="G930" s="10">
        <f t="shared" si="58"/>
        <v>-3.6000000000004735E-3</v>
      </c>
      <c r="H930" s="11">
        <f t="shared" si="59"/>
        <v>1.1586600000000438</v>
      </c>
    </row>
    <row r="931" spans="1:8" ht="13.8" thickBot="1">
      <c r="A931" s="13">
        <v>92.8</v>
      </c>
      <c r="B931" s="14">
        <v>0.82384000000000002</v>
      </c>
      <c r="C931" s="10">
        <f t="shared" si="56"/>
        <v>-3.5999999999999626E-3</v>
      </c>
      <c r="D931" s="11">
        <f t="shared" si="57"/>
        <v>1.1579199999999965</v>
      </c>
      <c r="E931" s="13">
        <v>92.8</v>
      </c>
      <c r="F931" s="14">
        <v>0.82457999999999998</v>
      </c>
      <c r="G931" s="10">
        <f t="shared" si="58"/>
        <v>-3.5999999999999626E-3</v>
      </c>
      <c r="H931" s="11">
        <f t="shared" si="59"/>
        <v>1.1586599999999965</v>
      </c>
    </row>
    <row r="932" spans="1:8" ht="13.8" thickBot="1">
      <c r="A932" s="13">
        <v>92.9</v>
      </c>
      <c r="B932" s="14">
        <v>0.82347999999999999</v>
      </c>
      <c r="C932" s="10">
        <f t="shared" si="56"/>
        <v>-3.6000000000004735E-3</v>
      </c>
      <c r="D932" s="11">
        <f t="shared" si="57"/>
        <v>1.1579200000000438</v>
      </c>
      <c r="E932" s="13">
        <v>92.9</v>
      </c>
      <c r="F932" s="14">
        <v>0.82421999999999995</v>
      </c>
      <c r="G932" s="10">
        <f t="shared" si="58"/>
        <v>-3.5999999999993637E-3</v>
      </c>
      <c r="H932" s="11">
        <f t="shared" si="59"/>
        <v>1.1586599999999407</v>
      </c>
    </row>
    <row r="933" spans="1:8" ht="13.8" thickBot="1">
      <c r="A933" s="8">
        <v>93</v>
      </c>
      <c r="B933" s="17">
        <v>0.82311999999999996</v>
      </c>
      <c r="C933" s="10">
        <f t="shared" si="56"/>
        <v>-3.5999999999993637E-3</v>
      </c>
      <c r="D933" s="11">
        <f t="shared" si="57"/>
        <v>1.1579199999999408</v>
      </c>
      <c r="E933" s="8">
        <v>93</v>
      </c>
      <c r="F933" s="17">
        <v>0.82386000000000004</v>
      </c>
      <c r="G933" s="10">
        <f t="shared" si="58"/>
        <v>-3.6000000000004735E-3</v>
      </c>
      <c r="H933" s="11">
        <f t="shared" si="59"/>
        <v>1.158660000000044</v>
      </c>
    </row>
    <row r="934" spans="1:8" ht="13.8" thickBot="1">
      <c r="A934" s="13">
        <v>93.1</v>
      </c>
      <c r="B934" s="14">
        <v>0.82276000000000005</v>
      </c>
      <c r="C934" s="10">
        <f t="shared" si="56"/>
        <v>-3.5999999999999626E-3</v>
      </c>
      <c r="D934" s="11">
        <f t="shared" si="57"/>
        <v>1.1579199999999967</v>
      </c>
      <c r="E934" s="13">
        <v>93.1</v>
      </c>
      <c r="F934" s="14">
        <v>0.82350000000000001</v>
      </c>
      <c r="G934" s="10">
        <f t="shared" si="58"/>
        <v>-3.5999999999999626E-3</v>
      </c>
      <c r="H934" s="11">
        <f t="shared" si="59"/>
        <v>1.1586599999999967</v>
      </c>
    </row>
    <row r="935" spans="1:8" ht="13.8" thickBot="1">
      <c r="A935" s="13">
        <v>93.2</v>
      </c>
      <c r="B935" s="14">
        <v>0.82240000000000002</v>
      </c>
      <c r="C935" s="10">
        <f t="shared" si="56"/>
        <v>-3.6000000000004735E-3</v>
      </c>
      <c r="D935" s="11">
        <f t="shared" si="57"/>
        <v>1.157920000000044</v>
      </c>
      <c r="E935" s="13">
        <v>93.2</v>
      </c>
      <c r="F935" s="14">
        <v>0.82313999999999998</v>
      </c>
      <c r="G935" s="10">
        <f t="shared" si="58"/>
        <v>-3.6000000000004735E-3</v>
      </c>
      <c r="H935" s="11">
        <f t="shared" si="59"/>
        <v>1.158660000000044</v>
      </c>
    </row>
    <row r="936" spans="1:8" ht="13.8" thickBot="1">
      <c r="A936" s="13">
        <v>93.3</v>
      </c>
      <c r="B936" s="14">
        <v>0.82203999999999999</v>
      </c>
      <c r="C936" s="10">
        <f t="shared" si="56"/>
        <v>-3.6999999999994988E-3</v>
      </c>
      <c r="D936" s="11">
        <f t="shared" si="57"/>
        <v>1.1672499999999533</v>
      </c>
      <c r="E936" s="13">
        <v>93.3</v>
      </c>
      <c r="F936" s="14">
        <v>0.82277999999999996</v>
      </c>
      <c r="G936" s="10">
        <f t="shared" si="58"/>
        <v>-3.6999999999994988E-3</v>
      </c>
      <c r="H936" s="11">
        <f t="shared" si="59"/>
        <v>1.1679899999999532</v>
      </c>
    </row>
    <row r="937" spans="1:8" ht="13.8" thickBot="1">
      <c r="A937" s="13">
        <v>93.4</v>
      </c>
      <c r="B937" s="14">
        <v>0.82167000000000001</v>
      </c>
      <c r="C937" s="10">
        <f t="shared" si="56"/>
        <v>-3.6000000000004735E-3</v>
      </c>
      <c r="D937" s="11">
        <f t="shared" si="57"/>
        <v>1.1579100000000442</v>
      </c>
      <c r="E937" s="13">
        <v>93.4</v>
      </c>
      <c r="F937" s="14">
        <v>0.82240999999999997</v>
      </c>
      <c r="G937" s="10">
        <f t="shared" si="58"/>
        <v>-3.6000000000004735E-3</v>
      </c>
      <c r="H937" s="11">
        <f t="shared" si="59"/>
        <v>1.1586500000000441</v>
      </c>
    </row>
    <row r="938" spans="1:8" ht="13.8" thickBot="1">
      <c r="A938" s="13">
        <v>93.5</v>
      </c>
      <c r="B938" s="14">
        <v>0.82130999999999998</v>
      </c>
      <c r="C938" s="10">
        <f t="shared" si="56"/>
        <v>-3.7000000000000244E-3</v>
      </c>
      <c r="D938" s="11">
        <f t="shared" si="57"/>
        <v>1.1672600000000024</v>
      </c>
      <c r="E938" s="13">
        <v>93.5</v>
      </c>
      <c r="F938" s="14">
        <v>0.82204999999999995</v>
      </c>
      <c r="G938" s="10">
        <f t="shared" si="58"/>
        <v>-3.7000000000000244E-3</v>
      </c>
      <c r="H938" s="11">
        <f t="shared" si="59"/>
        <v>1.1680000000000024</v>
      </c>
    </row>
    <row r="939" spans="1:8" ht="13.8" thickBot="1">
      <c r="A939" s="13">
        <v>93.6</v>
      </c>
      <c r="B939" s="14">
        <v>0.82094</v>
      </c>
      <c r="C939" s="10">
        <f t="shared" si="56"/>
        <v>-3.6999999999994988E-3</v>
      </c>
      <c r="D939" s="11">
        <f t="shared" si="57"/>
        <v>1.1672599999999531</v>
      </c>
      <c r="E939" s="13">
        <v>93.6</v>
      </c>
      <c r="F939" s="14">
        <v>0.82167999999999997</v>
      </c>
      <c r="G939" s="10">
        <f t="shared" si="58"/>
        <v>-3.6999999999994988E-3</v>
      </c>
      <c r="H939" s="11">
        <f t="shared" si="59"/>
        <v>1.1679999999999531</v>
      </c>
    </row>
    <row r="940" spans="1:8" ht="13.8" thickBot="1">
      <c r="A940" s="13">
        <v>93.7</v>
      </c>
      <c r="B940" s="14">
        <v>0.82057000000000002</v>
      </c>
      <c r="C940" s="10">
        <f t="shared" si="56"/>
        <v>-3.7000000000000244E-3</v>
      </c>
      <c r="D940" s="11">
        <f t="shared" si="57"/>
        <v>1.1672600000000024</v>
      </c>
      <c r="E940" s="13">
        <v>93.7</v>
      </c>
      <c r="F940" s="14">
        <v>0.82130999999999998</v>
      </c>
      <c r="G940" s="10">
        <f t="shared" si="58"/>
        <v>-3.7000000000000244E-3</v>
      </c>
      <c r="H940" s="11">
        <f t="shared" si="59"/>
        <v>1.1680000000000024</v>
      </c>
    </row>
    <row r="941" spans="1:8" ht="13.8" thickBot="1">
      <c r="A941" s="13">
        <v>93.8</v>
      </c>
      <c r="B941" s="14">
        <v>0.82020000000000004</v>
      </c>
      <c r="C941" s="10">
        <f t="shared" si="56"/>
        <v>-3.7000000000006095E-3</v>
      </c>
      <c r="D941" s="11">
        <f t="shared" si="57"/>
        <v>1.167260000000057</v>
      </c>
      <c r="E941" s="13">
        <v>93.8</v>
      </c>
      <c r="F941" s="14">
        <v>0.82094</v>
      </c>
      <c r="G941" s="10">
        <f t="shared" si="58"/>
        <v>-3.6999999999994988E-3</v>
      </c>
      <c r="H941" s="11">
        <f t="shared" si="59"/>
        <v>1.1679999999999531</v>
      </c>
    </row>
    <row r="942" spans="1:8" ht="13.8" thickBot="1">
      <c r="A942" s="13">
        <v>93.9</v>
      </c>
      <c r="B942" s="14">
        <v>0.81982999999999995</v>
      </c>
      <c r="C942" s="10">
        <f t="shared" si="56"/>
        <v>-3.7000000000000244E-3</v>
      </c>
      <c r="D942" s="11">
        <f t="shared" si="57"/>
        <v>1.1672600000000022</v>
      </c>
      <c r="E942" s="13">
        <v>93.9</v>
      </c>
      <c r="F942" s="14">
        <v>0.82057000000000002</v>
      </c>
      <c r="G942" s="10">
        <f t="shared" si="58"/>
        <v>-3.7000000000000244E-3</v>
      </c>
      <c r="H942" s="11">
        <f t="shared" si="59"/>
        <v>1.1680000000000024</v>
      </c>
    </row>
    <row r="943" spans="1:8" ht="13.8" thickBot="1">
      <c r="A943" s="8">
        <v>94</v>
      </c>
      <c r="B943" s="17">
        <v>0.81945999999999997</v>
      </c>
      <c r="C943" s="10">
        <f t="shared" si="56"/>
        <v>-3.7000000000000244E-3</v>
      </c>
      <c r="D943" s="11">
        <f t="shared" si="57"/>
        <v>1.1672600000000022</v>
      </c>
      <c r="E943" s="8">
        <v>94</v>
      </c>
      <c r="F943" s="17">
        <v>0.82020000000000004</v>
      </c>
      <c r="G943" s="10">
        <f t="shared" si="58"/>
        <v>-3.7000000000011351E-3</v>
      </c>
      <c r="H943" s="11">
        <f t="shared" si="59"/>
        <v>1.1680000000001067</v>
      </c>
    </row>
    <row r="944" spans="1:8" ht="13.8" thickBot="1">
      <c r="A944" s="13">
        <v>94.1</v>
      </c>
      <c r="B944" s="14">
        <v>0.81908999999999998</v>
      </c>
      <c r="C944" s="10">
        <f t="shared" si="56"/>
        <v>-3.7999999999990351E-3</v>
      </c>
      <c r="D944" s="11">
        <f t="shared" si="57"/>
        <v>1.1766699999999091</v>
      </c>
      <c r="E944" s="13">
        <v>94.1</v>
      </c>
      <c r="F944" s="14">
        <v>0.81982999999999995</v>
      </c>
      <c r="G944" s="10">
        <f t="shared" si="58"/>
        <v>-3.7999999999990351E-3</v>
      </c>
      <c r="H944" s="11">
        <f t="shared" si="59"/>
        <v>1.177409999999909</v>
      </c>
    </row>
    <row r="945" spans="1:8" ht="13.8" thickBot="1">
      <c r="A945" s="13">
        <v>94.2</v>
      </c>
      <c r="B945" s="14">
        <v>0.81871000000000005</v>
      </c>
      <c r="C945" s="10">
        <f t="shared" si="56"/>
        <v>-3.7000000000011351E-3</v>
      </c>
      <c r="D945" s="11">
        <f t="shared" si="57"/>
        <v>1.1672500000001069</v>
      </c>
      <c r="E945" s="13">
        <v>94.2</v>
      </c>
      <c r="F945" s="14">
        <v>0.81945000000000001</v>
      </c>
      <c r="G945" s="10">
        <f t="shared" si="58"/>
        <v>-3.7000000000000244E-3</v>
      </c>
      <c r="H945" s="11">
        <f t="shared" si="59"/>
        <v>1.1679900000000023</v>
      </c>
    </row>
    <row r="946" spans="1:8" ht="13.8" thickBot="1">
      <c r="A946" s="13">
        <v>94.3</v>
      </c>
      <c r="B946" s="14">
        <v>0.81833999999999996</v>
      </c>
      <c r="C946" s="10">
        <f t="shared" si="56"/>
        <v>-3.7999999999990351E-3</v>
      </c>
      <c r="D946" s="11">
        <f t="shared" si="57"/>
        <v>1.1766799999999089</v>
      </c>
      <c r="E946" s="13">
        <v>94.3</v>
      </c>
      <c r="F946" s="14">
        <v>0.81908000000000003</v>
      </c>
      <c r="G946" s="10">
        <f t="shared" si="58"/>
        <v>-3.8000000000001457E-3</v>
      </c>
      <c r="H946" s="11">
        <f t="shared" si="59"/>
        <v>1.1774200000000137</v>
      </c>
    </row>
    <row r="947" spans="1:8" ht="13.8" thickBot="1">
      <c r="A947" s="13">
        <v>94.4</v>
      </c>
      <c r="B947" s="14">
        <v>0.81796000000000002</v>
      </c>
      <c r="C947" s="10">
        <f t="shared" si="56"/>
        <v>-3.8000000000006852E-3</v>
      </c>
      <c r="D947" s="11">
        <f t="shared" si="57"/>
        <v>1.1766800000000648</v>
      </c>
      <c r="E947" s="13">
        <v>94.4</v>
      </c>
      <c r="F947" s="14">
        <v>0.81869999999999998</v>
      </c>
      <c r="G947" s="10">
        <f t="shared" si="58"/>
        <v>-3.7999999999995754E-3</v>
      </c>
      <c r="H947" s="11">
        <f t="shared" si="59"/>
        <v>1.1774199999999599</v>
      </c>
    </row>
    <row r="948" spans="1:8" ht="13.8" thickBot="1">
      <c r="A948" s="13">
        <v>94.5</v>
      </c>
      <c r="B948" s="14">
        <v>0.81757999999999997</v>
      </c>
      <c r="C948" s="10">
        <f t="shared" si="56"/>
        <v>-3.7999999999995754E-3</v>
      </c>
      <c r="D948" s="11">
        <f t="shared" si="57"/>
        <v>1.17667999999996</v>
      </c>
      <c r="E948" s="13">
        <v>94.5</v>
      </c>
      <c r="F948" s="14">
        <v>0.81832000000000005</v>
      </c>
      <c r="G948" s="10">
        <f t="shared" si="58"/>
        <v>-3.8000000000006852E-3</v>
      </c>
      <c r="H948" s="11">
        <f t="shared" si="59"/>
        <v>1.1774200000000647</v>
      </c>
    </row>
    <row r="949" spans="1:8" ht="13.8" thickBot="1">
      <c r="A949" s="13">
        <v>94.6</v>
      </c>
      <c r="B949" s="14">
        <v>0.81720000000000004</v>
      </c>
      <c r="C949" s="10">
        <f t="shared" si="56"/>
        <v>-3.8000000000001457E-3</v>
      </c>
      <c r="D949" s="11">
        <f t="shared" si="57"/>
        <v>1.1766800000000139</v>
      </c>
      <c r="E949" s="13">
        <v>94.6</v>
      </c>
      <c r="F949" s="14">
        <v>0.81794</v>
      </c>
      <c r="G949" s="10">
        <f t="shared" si="58"/>
        <v>-3.8000000000001457E-3</v>
      </c>
      <c r="H949" s="11">
        <f t="shared" si="59"/>
        <v>1.1774200000000139</v>
      </c>
    </row>
    <row r="950" spans="1:8" ht="13.8" thickBot="1">
      <c r="A950" s="13">
        <v>94.7</v>
      </c>
      <c r="B950" s="14">
        <v>0.81681999999999999</v>
      </c>
      <c r="C950" s="10">
        <f t="shared" si="56"/>
        <v>-3.7999999999995754E-3</v>
      </c>
      <c r="D950" s="11">
        <f t="shared" si="57"/>
        <v>1.1766799999999598</v>
      </c>
      <c r="E950" s="13">
        <v>94.7</v>
      </c>
      <c r="F950" s="14">
        <v>0.81755999999999995</v>
      </c>
      <c r="G950" s="10">
        <f t="shared" si="58"/>
        <v>-3.7999999999995754E-3</v>
      </c>
      <c r="H950" s="11">
        <f t="shared" si="59"/>
        <v>1.1774199999999597</v>
      </c>
    </row>
    <row r="951" spans="1:8" ht="13.8" thickBot="1">
      <c r="A951" s="13">
        <v>94.8</v>
      </c>
      <c r="B951" s="14">
        <v>0.81644000000000005</v>
      </c>
      <c r="C951" s="10">
        <f t="shared" si="56"/>
        <v>-3.8999999999996819E-3</v>
      </c>
      <c r="D951" s="11">
        <f t="shared" si="57"/>
        <v>1.1861599999999699</v>
      </c>
      <c r="E951" s="13">
        <v>94.8</v>
      </c>
      <c r="F951" s="14">
        <v>0.81718000000000002</v>
      </c>
      <c r="G951" s="10">
        <f t="shared" si="58"/>
        <v>-3.8999999999996819E-3</v>
      </c>
      <c r="H951" s="11">
        <f t="shared" si="59"/>
        <v>1.1868999999999699</v>
      </c>
    </row>
    <row r="952" spans="1:8" ht="13.8" thickBot="1">
      <c r="A952" s="13">
        <v>94.9</v>
      </c>
      <c r="B952" s="14">
        <v>0.81605000000000005</v>
      </c>
      <c r="C952" s="10">
        <f t="shared" si="56"/>
        <v>-3.9000000000002357E-3</v>
      </c>
      <c r="D952" s="11">
        <f t="shared" si="57"/>
        <v>1.1861600000000223</v>
      </c>
      <c r="E952" s="13">
        <v>94.9</v>
      </c>
      <c r="F952" s="14">
        <v>0.81679000000000002</v>
      </c>
      <c r="G952" s="10">
        <f t="shared" si="58"/>
        <v>-4.0000000000008969E-3</v>
      </c>
      <c r="H952" s="11">
        <f t="shared" si="59"/>
        <v>1.1963900000000851</v>
      </c>
    </row>
    <row r="953" spans="1:8" ht="13.8" thickBot="1">
      <c r="A953" s="8">
        <v>95</v>
      </c>
      <c r="B953" s="17">
        <v>0.81566000000000005</v>
      </c>
      <c r="C953" s="10">
        <f t="shared" si="56"/>
        <v>-3.8000000000006852E-3</v>
      </c>
      <c r="D953" s="11">
        <f t="shared" si="57"/>
        <v>1.1766600000000651</v>
      </c>
      <c r="E953" s="8">
        <v>95</v>
      </c>
      <c r="F953" s="17">
        <v>0.81638999999999995</v>
      </c>
      <c r="G953" s="10">
        <f t="shared" si="58"/>
        <v>-3.7999999999995754E-3</v>
      </c>
      <c r="H953" s="11">
        <f t="shared" si="59"/>
        <v>1.1773899999999597</v>
      </c>
    </row>
    <row r="954" spans="1:8" ht="13.8" thickBot="1">
      <c r="A954" s="13">
        <v>95.1</v>
      </c>
      <c r="B954" s="14">
        <v>0.81528</v>
      </c>
      <c r="C954" s="10">
        <f t="shared" si="56"/>
        <v>-3.8999999999996819E-3</v>
      </c>
      <c r="D954" s="11">
        <f t="shared" si="57"/>
        <v>1.1861699999999697</v>
      </c>
      <c r="E954" s="13">
        <v>95.1</v>
      </c>
      <c r="F954" s="14">
        <v>0.81601000000000001</v>
      </c>
      <c r="G954" s="10">
        <f t="shared" si="58"/>
        <v>-3.8999999999996819E-3</v>
      </c>
      <c r="H954" s="11">
        <f t="shared" si="59"/>
        <v>1.1868999999999696</v>
      </c>
    </row>
    <row r="955" spans="1:8" ht="13.8" thickBot="1">
      <c r="A955" s="13">
        <v>95.2</v>
      </c>
      <c r="B955" s="14">
        <v>0.81489</v>
      </c>
      <c r="C955" s="10">
        <f t="shared" si="56"/>
        <v>-3.9000000000002357E-3</v>
      </c>
      <c r="D955" s="11">
        <f t="shared" si="57"/>
        <v>1.1861700000000224</v>
      </c>
      <c r="E955" s="13">
        <v>95.2</v>
      </c>
      <c r="F955" s="14">
        <v>0.81562000000000001</v>
      </c>
      <c r="G955" s="10">
        <f t="shared" si="58"/>
        <v>-3.9000000000002357E-3</v>
      </c>
      <c r="H955" s="11">
        <f t="shared" si="59"/>
        <v>1.1869000000000225</v>
      </c>
    </row>
    <row r="956" spans="1:8" ht="13.8" thickBot="1">
      <c r="A956" s="13">
        <v>95.3</v>
      </c>
      <c r="B956" s="14">
        <v>0.8145</v>
      </c>
      <c r="C956" s="10">
        <f t="shared" si="56"/>
        <v>-3.9999999999992186E-3</v>
      </c>
      <c r="D956" s="11">
        <f t="shared" si="57"/>
        <v>1.1956999999999254</v>
      </c>
      <c r="E956" s="13">
        <v>95.3</v>
      </c>
      <c r="F956" s="14">
        <v>0.81523000000000001</v>
      </c>
      <c r="G956" s="10">
        <f t="shared" si="58"/>
        <v>-3.9999999999992186E-3</v>
      </c>
      <c r="H956" s="11">
        <f t="shared" si="59"/>
        <v>1.1964299999999255</v>
      </c>
    </row>
    <row r="957" spans="1:8" ht="13.8" thickBot="1">
      <c r="A957" s="13">
        <v>95.4</v>
      </c>
      <c r="B957" s="14">
        <v>0.81410000000000005</v>
      </c>
      <c r="C957" s="10">
        <f t="shared" si="56"/>
        <v>-3.9000000000002357E-3</v>
      </c>
      <c r="D957" s="11">
        <f t="shared" si="57"/>
        <v>1.1861600000000228</v>
      </c>
      <c r="E957" s="13">
        <v>95.4</v>
      </c>
      <c r="F957" s="14">
        <v>0.81483000000000005</v>
      </c>
      <c r="G957" s="10">
        <f t="shared" si="58"/>
        <v>-3.9000000000002357E-3</v>
      </c>
      <c r="H957" s="11">
        <f t="shared" si="59"/>
        <v>1.1868900000000226</v>
      </c>
    </row>
    <row r="958" spans="1:8" ht="13.8" thickBot="1">
      <c r="A958" s="13">
        <v>95.5</v>
      </c>
      <c r="B958" s="14">
        <v>0.81371000000000004</v>
      </c>
      <c r="C958" s="10">
        <f t="shared" si="56"/>
        <v>-4.0000000000008969E-3</v>
      </c>
      <c r="D958" s="11">
        <f t="shared" si="57"/>
        <v>1.1957100000000858</v>
      </c>
      <c r="E958" s="13">
        <v>95.5</v>
      </c>
      <c r="F958" s="14">
        <v>0.81444000000000005</v>
      </c>
      <c r="G958" s="10">
        <f t="shared" si="58"/>
        <v>-4.0000000000008969E-3</v>
      </c>
      <c r="H958" s="11">
        <f t="shared" si="59"/>
        <v>1.1964400000000857</v>
      </c>
    </row>
    <row r="959" spans="1:8" ht="13.8" thickBot="1">
      <c r="A959" s="13">
        <v>95.6</v>
      </c>
      <c r="B959" s="14">
        <v>0.81330999999999998</v>
      </c>
      <c r="C959" s="10">
        <f t="shared" si="56"/>
        <v>-3.9999999999992186E-3</v>
      </c>
      <c r="D959" s="11">
        <f t="shared" si="57"/>
        <v>1.1957099999999252</v>
      </c>
      <c r="E959" s="13">
        <v>95.6</v>
      </c>
      <c r="F959" s="14">
        <v>0.81403999999999999</v>
      </c>
      <c r="G959" s="10">
        <f t="shared" si="58"/>
        <v>-3.9999999999992186E-3</v>
      </c>
      <c r="H959" s="11">
        <f t="shared" si="59"/>
        <v>1.1964399999999253</v>
      </c>
    </row>
    <row r="960" spans="1:8" ht="13.8" thickBot="1">
      <c r="A960" s="13">
        <v>95.7</v>
      </c>
      <c r="B960" s="14">
        <v>0.81291000000000002</v>
      </c>
      <c r="C960" s="10">
        <f t="shared" si="56"/>
        <v>-4.0000000000008969E-3</v>
      </c>
      <c r="D960" s="11">
        <f t="shared" si="57"/>
        <v>1.195710000000086</v>
      </c>
      <c r="E960" s="13">
        <v>95.7</v>
      </c>
      <c r="F960" s="14">
        <v>0.81364000000000003</v>
      </c>
      <c r="G960" s="10">
        <f t="shared" si="58"/>
        <v>-4.0000000000008969E-3</v>
      </c>
      <c r="H960" s="11">
        <f t="shared" si="59"/>
        <v>1.1964400000000859</v>
      </c>
    </row>
    <row r="961" spans="1:8" ht="13.8" thickBot="1">
      <c r="A961" s="13">
        <v>95.8</v>
      </c>
      <c r="B961" s="14">
        <v>0.81250999999999995</v>
      </c>
      <c r="C961" s="10">
        <f t="shared" si="56"/>
        <v>-3.9999999999992186E-3</v>
      </c>
      <c r="D961" s="11">
        <f t="shared" si="57"/>
        <v>1.195709999999925</v>
      </c>
      <c r="E961" s="13">
        <v>95.8</v>
      </c>
      <c r="F961" s="14">
        <v>0.81323999999999996</v>
      </c>
      <c r="G961" s="10">
        <f t="shared" si="58"/>
        <v>-3.9999999999992186E-3</v>
      </c>
      <c r="H961" s="11">
        <f t="shared" si="59"/>
        <v>1.1964399999999251</v>
      </c>
    </row>
    <row r="962" spans="1:8" ht="13.8" thickBot="1">
      <c r="A962" s="13">
        <v>95.9</v>
      </c>
      <c r="B962" s="14">
        <v>0.81211</v>
      </c>
      <c r="C962" s="10">
        <f t="shared" si="56"/>
        <v>-3.9999999999997867E-3</v>
      </c>
      <c r="D962" s="11">
        <f t="shared" si="57"/>
        <v>1.1957099999999796</v>
      </c>
      <c r="E962" s="13">
        <v>95.9</v>
      </c>
      <c r="F962" s="14">
        <v>0.81284000000000001</v>
      </c>
      <c r="G962" s="10">
        <f t="shared" si="58"/>
        <v>-3.9999999999997867E-3</v>
      </c>
      <c r="H962" s="11">
        <f t="shared" si="59"/>
        <v>1.1964399999999795</v>
      </c>
    </row>
    <row r="963" spans="1:8" ht="13.8" thickBot="1">
      <c r="A963" s="8">
        <v>96</v>
      </c>
      <c r="B963" s="17">
        <v>0.81171000000000004</v>
      </c>
      <c r="C963" s="10">
        <f t="shared" si="56"/>
        <v>-4.1000000000004479E-3</v>
      </c>
      <c r="D963" s="11">
        <f t="shared" si="57"/>
        <v>1.205310000000043</v>
      </c>
      <c r="E963" s="8">
        <v>96</v>
      </c>
      <c r="F963" s="17">
        <v>0.81244000000000005</v>
      </c>
      <c r="G963" s="10">
        <f t="shared" si="58"/>
        <v>-4.1000000000004479E-3</v>
      </c>
      <c r="H963" s="11">
        <f t="shared" si="59"/>
        <v>1.2060400000000431</v>
      </c>
    </row>
    <row r="964" spans="1:8" ht="13.8" thickBot="1">
      <c r="A964" s="13">
        <v>96.1</v>
      </c>
      <c r="B964" s="14">
        <v>0.81130000000000002</v>
      </c>
      <c r="C964" s="10">
        <f t="shared" ref="C964:C1002" si="60">SLOPE(B964:B965,A964:A965)</f>
        <v>-4.0000000000003288E-3</v>
      </c>
      <c r="D964" s="11">
        <f t="shared" ref="D964:D1002" si="61">INTERCEPT(B964:B965,A964:A965)</f>
        <v>1.1957000000000315</v>
      </c>
      <c r="E964" s="13">
        <v>96.1</v>
      </c>
      <c r="F964" s="14">
        <v>0.81203000000000003</v>
      </c>
      <c r="G964" s="10">
        <f t="shared" ref="G964:G1002" si="62">SLOPE(F964:F965,E964:E965)</f>
        <v>-4.0000000000003288E-3</v>
      </c>
      <c r="H964" s="11">
        <f t="shared" ref="H964:H1002" si="63">INTERCEPT(F964:F965,E964:E965)</f>
        <v>1.1964300000000316</v>
      </c>
    </row>
    <row r="965" spans="1:8" ht="13.8" thickBot="1">
      <c r="A965" s="13">
        <v>96.2</v>
      </c>
      <c r="B965" s="14">
        <v>0.81089999999999995</v>
      </c>
      <c r="C965" s="10">
        <f t="shared" si="60"/>
        <v>-4.0999999999993377E-3</v>
      </c>
      <c r="D965" s="11">
        <f t="shared" si="61"/>
        <v>1.2053199999999362</v>
      </c>
      <c r="E965" s="13">
        <v>96.2</v>
      </c>
      <c r="F965" s="14">
        <v>0.81162999999999996</v>
      </c>
      <c r="G965" s="10">
        <f t="shared" si="62"/>
        <v>-4.0999999999993377E-3</v>
      </c>
      <c r="H965" s="11">
        <f t="shared" si="63"/>
        <v>1.2060499999999363</v>
      </c>
    </row>
    <row r="966" spans="1:8" ht="13.8" thickBot="1">
      <c r="A966" s="13">
        <v>96.3</v>
      </c>
      <c r="B966" s="14">
        <v>0.81049000000000004</v>
      </c>
      <c r="C966" s="10">
        <f t="shared" si="60"/>
        <v>-4.2000000000005115E-3</v>
      </c>
      <c r="D966" s="11">
        <f t="shared" si="61"/>
        <v>1.2149500000000493</v>
      </c>
      <c r="E966" s="13">
        <v>96.3</v>
      </c>
      <c r="F966" s="14">
        <v>0.81122000000000005</v>
      </c>
      <c r="G966" s="10">
        <f t="shared" si="62"/>
        <v>-4.2000000000005115E-3</v>
      </c>
      <c r="H966" s="11">
        <f t="shared" si="63"/>
        <v>1.2156800000000492</v>
      </c>
    </row>
    <row r="967" spans="1:8" ht="13.8" thickBot="1">
      <c r="A967" s="13">
        <v>96.4</v>
      </c>
      <c r="B967" s="14">
        <v>0.81006999999999996</v>
      </c>
      <c r="C967" s="10">
        <f t="shared" si="60"/>
        <v>-4.0999999999993377E-3</v>
      </c>
      <c r="D967" s="11">
        <f t="shared" si="61"/>
        <v>1.2053099999999362</v>
      </c>
      <c r="E967" s="13">
        <v>96.4</v>
      </c>
      <c r="F967" s="14">
        <v>0.81079999999999997</v>
      </c>
      <c r="G967" s="10">
        <f t="shared" si="62"/>
        <v>-4.0999999999993377E-3</v>
      </c>
      <c r="H967" s="11">
        <f t="shared" si="63"/>
        <v>1.2060399999999361</v>
      </c>
    </row>
    <row r="968" spans="1:8" ht="13.8" thickBot="1">
      <c r="A968" s="13">
        <v>96.5</v>
      </c>
      <c r="B968" s="14">
        <v>0.80966000000000005</v>
      </c>
      <c r="C968" s="10">
        <f t="shared" si="60"/>
        <v>-4.1000000000004479E-3</v>
      </c>
      <c r="D968" s="11">
        <f t="shared" si="61"/>
        <v>1.2053100000000434</v>
      </c>
      <c r="E968" s="13">
        <v>96.5</v>
      </c>
      <c r="F968" s="14">
        <v>0.81039000000000005</v>
      </c>
      <c r="G968" s="10">
        <f t="shared" si="62"/>
        <v>-4.1000000000004479E-3</v>
      </c>
      <c r="H968" s="11">
        <f t="shared" si="63"/>
        <v>1.2060400000000433</v>
      </c>
    </row>
    <row r="969" spans="1:8" ht="13.8" thickBot="1">
      <c r="A969" s="13">
        <v>96.6</v>
      </c>
      <c r="B969" s="14">
        <v>0.80925000000000002</v>
      </c>
      <c r="C969" s="10">
        <f t="shared" si="60"/>
        <v>-4.1999999999994013E-3</v>
      </c>
      <c r="D969" s="11">
        <f t="shared" si="61"/>
        <v>1.2149699999999422</v>
      </c>
      <c r="E969" s="13">
        <v>96.6</v>
      </c>
      <c r="F969" s="14">
        <v>0.80998000000000003</v>
      </c>
      <c r="G969" s="10">
        <f t="shared" si="62"/>
        <v>-4.2000000000005115E-3</v>
      </c>
      <c r="H969" s="11">
        <f t="shared" si="63"/>
        <v>1.2157000000000495</v>
      </c>
    </row>
    <row r="970" spans="1:8" ht="13.8" thickBot="1">
      <c r="A970" s="13">
        <v>96.7</v>
      </c>
      <c r="B970" s="14">
        <v>0.80883000000000005</v>
      </c>
      <c r="C970" s="10">
        <f t="shared" si="60"/>
        <v>-4.2000000000011074E-3</v>
      </c>
      <c r="D970" s="11">
        <f t="shared" si="61"/>
        <v>1.2149700000001071</v>
      </c>
      <c r="E970" s="13">
        <v>96.7</v>
      </c>
      <c r="F970" s="14">
        <v>0.80955999999999995</v>
      </c>
      <c r="G970" s="10">
        <f t="shared" si="62"/>
        <v>-4.199999999999998E-3</v>
      </c>
      <c r="H970" s="11">
        <f t="shared" si="63"/>
        <v>1.2156999999999998</v>
      </c>
    </row>
    <row r="971" spans="1:8" ht="13.8" thickBot="1">
      <c r="A971" s="13">
        <v>96.8</v>
      </c>
      <c r="B971" s="14">
        <v>0.80840999999999996</v>
      </c>
      <c r="C971" s="10">
        <f t="shared" si="60"/>
        <v>-4.1999999999994013E-3</v>
      </c>
      <c r="D971" s="11">
        <f t="shared" si="61"/>
        <v>1.2149699999999419</v>
      </c>
      <c r="E971" s="13">
        <v>96.8</v>
      </c>
      <c r="F971" s="14">
        <v>0.80913999999999997</v>
      </c>
      <c r="G971" s="10">
        <f t="shared" si="62"/>
        <v>-4.1999999999994004E-3</v>
      </c>
      <c r="H971" s="11">
        <f t="shared" si="63"/>
        <v>1.2156999999999418</v>
      </c>
    </row>
    <row r="972" spans="1:8" ht="13.8" thickBot="1">
      <c r="A972" s="13">
        <v>96.9</v>
      </c>
      <c r="B972" s="14">
        <v>0.80798999999999999</v>
      </c>
      <c r="C972" s="10">
        <f t="shared" si="60"/>
        <v>-4.3000000000006583E-3</v>
      </c>
      <c r="D972" s="11">
        <f t="shared" si="61"/>
        <v>1.2246600000000638</v>
      </c>
      <c r="E972" s="13">
        <v>96.9</v>
      </c>
      <c r="F972" s="14">
        <v>0.80871999999999999</v>
      </c>
      <c r="G972" s="10">
        <f t="shared" si="62"/>
        <v>-4.3000000000006583E-3</v>
      </c>
      <c r="H972" s="11">
        <f t="shared" si="63"/>
        <v>1.2253900000000639</v>
      </c>
    </row>
    <row r="973" spans="1:8" ht="13.8" thickBot="1">
      <c r="A973" s="8">
        <v>97</v>
      </c>
      <c r="B973" s="17">
        <v>0.80755999999999994</v>
      </c>
      <c r="C973" s="10">
        <f t="shared" si="60"/>
        <v>-4.199999999999998E-3</v>
      </c>
      <c r="D973" s="11">
        <f t="shared" si="61"/>
        <v>1.2149599999999998</v>
      </c>
      <c r="E973" s="8">
        <v>97</v>
      </c>
      <c r="F973" s="17">
        <v>0.80828999999999995</v>
      </c>
      <c r="G973" s="10">
        <f t="shared" si="62"/>
        <v>-4.199999999999998E-3</v>
      </c>
      <c r="H973" s="11">
        <f t="shared" si="63"/>
        <v>1.2156899999999997</v>
      </c>
    </row>
    <row r="974" spans="1:8" ht="13.8" thickBot="1">
      <c r="A974" s="13">
        <v>97.1</v>
      </c>
      <c r="B974" s="14">
        <v>0.80713999999999997</v>
      </c>
      <c r="C974" s="10">
        <f t="shared" si="60"/>
        <v>-4.2999999999989375E-3</v>
      </c>
      <c r="D974" s="11">
        <f t="shared" si="61"/>
        <v>1.2246699999998967</v>
      </c>
      <c r="E974" s="13">
        <v>97.1</v>
      </c>
      <c r="F974" s="14">
        <v>0.80786999999999998</v>
      </c>
      <c r="G974" s="10">
        <f t="shared" si="62"/>
        <v>-4.2999999999989375E-3</v>
      </c>
      <c r="H974" s="11">
        <f t="shared" si="63"/>
        <v>1.2253999999998968</v>
      </c>
    </row>
    <row r="975" spans="1:8" ht="13.8" thickBot="1">
      <c r="A975" s="13">
        <v>97.2</v>
      </c>
      <c r="B975" s="14">
        <v>0.80671000000000004</v>
      </c>
      <c r="C975" s="10">
        <f t="shared" si="60"/>
        <v>-4.3000000000006583E-3</v>
      </c>
      <c r="D975" s="11">
        <f t="shared" si="61"/>
        <v>1.2246700000000641</v>
      </c>
      <c r="E975" s="13">
        <v>97.2</v>
      </c>
      <c r="F975" s="14">
        <v>0.80744000000000005</v>
      </c>
      <c r="G975" s="10">
        <f t="shared" si="62"/>
        <v>-4.3000000000006583E-3</v>
      </c>
      <c r="H975" s="11">
        <f t="shared" si="63"/>
        <v>1.225400000000064</v>
      </c>
    </row>
    <row r="976" spans="1:8" ht="13.8" thickBot="1">
      <c r="A976" s="13">
        <v>97.3</v>
      </c>
      <c r="B976" s="14">
        <v>0.80628</v>
      </c>
      <c r="C976" s="10">
        <f t="shared" si="60"/>
        <v>-4.3999999999995839E-3</v>
      </c>
      <c r="D976" s="11">
        <f t="shared" si="61"/>
        <v>1.2343999999999595</v>
      </c>
      <c r="E976" s="13">
        <v>97.3</v>
      </c>
      <c r="F976" s="14">
        <v>0.80701000000000001</v>
      </c>
      <c r="G976" s="10">
        <f t="shared" si="62"/>
        <v>-4.3999999999995839E-3</v>
      </c>
      <c r="H976" s="11">
        <f t="shared" si="63"/>
        <v>1.2351299999999594</v>
      </c>
    </row>
    <row r="977" spans="1:8" ht="13.8" thickBot="1">
      <c r="A977" s="13">
        <v>97.4</v>
      </c>
      <c r="B977" s="14">
        <v>0.80584</v>
      </c>
      <c r="C977" s="10">
        <f t="shared" si="60"/>
        <v>-4.3000000000006583E-3</v>
      </c>
      <c r="D977" s="11">
        <f t="shared" si="61"/>
        <v>1.2246600000000643</v>
      </c>
      <c r="E977" s="13">
        <v>97.4</v>
      </c>
      <c r="F977" s="14">
        <v>0.80657000000000001</v>
      </c>
      <c r="G977" s="10">
        <f t="shared" si="62"/>
        <v>-4.3000000000006583E-3</v>
      </c>
      <c r="H977" s="11">
        <f t="shared" si="63"/>
        <v>1.2253900000000642</v>
      </c>
    </row>
    <row r="978" spans="1:8" ht="13.8" thickBot="1">
      <c r="A978" s="13">
        <v>97.5</v>
      </c>
      <c r="B978" s="14">
        <v>0.80540999999999996</v>
      </c>
      <c r="C978" s="10">
        <f t="shared" si="60"/>
        <v>-4.4000000000002093E-3</v>
      </c>
      <c r="D978" s="11">
        <f t="shared" si="61"/>
        <v>1.2344100000000204</v>
      </c>
      <c r="E978" s="13">
        <v>97.5</v>
      </c>
      <c r="F978" s="14">
        <v>0.80613999999999997</v>
      </c>
      <c r="G978" s="10">
        <f t="shared" si="62"/>
        <v>-4.4000000000002093E-3</v>
      </c>
      <c r="H978" s="11">
        <f t="shared" si="63"/>
        <v>1.2351400000000203</v>
      </c>
    </row>
    <row r="979" spans="1:8" ht="13.8" thickBot="1">
      <c r="A979" s="13">
        <v>97.6</v>
      </c>
      <c r="B979" s="14">
        <v>0.80496999999999996</v>
      </c>
      <c r="C979" s="10">
        <f t="shared" si="60"/>
        <v>-4.3999999999995839E-3</v>
      </c>
      <c r="D979" s="11">
        <f t="shared" si="61"/>
        <v>1.2344099999999594</v>
      </c>
      <c r="E979" s="13">
        <v>97.6</v>
      </c>
      <c r="F979" s="14">
        <v>0.80569999999999997</v>
      </c>
      <c r="G979" s="10">
        <f t="shared" si="62"/>
        <v>-4.499999999999121E-3</v>
      </c>
      <c r="H979" s="11">
        <f t="shared" si="63"/>
        <v>1.2448999999999142</v>
      </c>
    </row>
    <row r="980" spans="1:8" ht="13.8" thickBot="1">
      <c r="A980" s="13">
        <v>97.7</v>
      </c>
      <c r="B980" s="14">
        <v>0.80452999999999997</v>
      </c>
      <c r="C980" s="10">
        <f t="shared" si="60"/>
        <v>-4.4000000000002093E-3</v>
      </c>
      <c r="D980" s="11">
        <f t="shared" si="61"/>
        <v>1.2344100000000204</v>
      </c>
      <c r="E980" s="13">
        <v>97.7</v>
      </c>
      <c r="F980" s="14">
        <v>0.80525000000000002</v>
      </c>
      <c r="G980" s="10">
        <f t="shared" si="62"/>
        <v>-4.4000000000002093E-3</v>
      </c>
      <c r="H980" s="11">
        <f t="shared" si="63"/>
        <v>1.2351300000000205</v>
      </c>
    </row>
    <row r="981" spans="1:8" ht="13.8" thickBot="1">
      <c r="A981" s="13">
        <v>97.8</v>
      </c>
      <c r="B981" s="14">
        <v>0.80408999999999997</v>
      </c>
      <c r="C981" s="10">
        <f t="shared" si="60"/>
        <v>-4.499999999999121E-3</v>
      </c>
      <c r="D981" s="11">
        <f t="shared" si="61"/>
        <v>1.244189999999914</v>
      </c>
      <c r="E981" s="13">
        <v>97.8</v>
      </c>
      <c r="F981" s="14">
        <v>0.80481000000000003</v>
      </c>
      <c r="G981" s="10">
        <f t="shared" si="62"/>
        <v>-4.5000000000002312E-3</v>
      </c>
      <c r="H981" s="11">
        <f t="shared" si="63"/>
        <v>1.2449100000000226</v>
      </c>
    </row>
    <row r="982" spans="1:8" ht="13.8" thickBot="1">
      <c r="A982" s="13">
        <v>97.9</v>
      </c>
      <c r="B982" s="14">
        <v>0.80364000000000002</v>
      </c>
      <c r="C982" s="10">
        <f t="shared" si="60"/>
        <v>-4.5000000000008696E-3</v>
      </c>
      <c r="D982" s="11">
        <f t="shared" si="61"/>
        <v>1.2441900000000852</v>
      </c>
      <c r="E982" s="13">
        <v>97.9</v>
      </c>
      <c r="F982" s="14">
        <v>0.80435999999999996</v>
      </c>
      <c r="G982" s="10">
        <f t="shared" si="62"/>
        <v>-4.4999999999997603E-3</v>
      </c>
      <c r="H982" s="11">
        <f t="shared" si="63"/>
        <v>1.2449099999999766</v>
      </c>
    </row>
    <row r="983" spans="1:8" ht="13.8" thickBot="1">
      <c r="A983" s="8">
        <v>98</v>
      </c>
      <c r="B983" s="17">
        <v>0.80318999999999996</v>
      </c>
      <c r="C983" s="10">
        <f t="shared" si="60"/>
        <v>-4.4999999999997603E-3</v>
      </c>
      <c r="D983" s="11">
        <f t="shared" si="61"/>
        <v>1.2441899999999764</v>
      </c>
      <c r="E983" s="8">
        <v>98</v>
      </c>
      <c r="F983" s="17">
        <v>0.80391000000000001</v>
      </c>
      <c r="G983" s="10">
        <f t="shared" si="62"/>
        <v>-4.5000000000008696E-3</v>
      </c>
      <c r="H983" s="11">
        <f t="shared" si="63"/>
        <v>1.2449100000000852</v>
      </c>
    </row>
    <row r="984" spans="1:8" ht="13.8" thickBot="1">
      <c r="A984" s="13">
        <v>98.1</v>
      </c>
      <c r="B984" s="14">
        <v>0.80274000000000001</v>
      </c>
      <c r="C984" s="10">
        <f t="shared" si="60"/>
        <v>-4.5000000000002312E-3</v>
      </c>
      <c r="D984" s="11">
        <f t="shared" si="61"/>
        <v>1.2441900000000228</v>
      </c>
      <c r="E984" s="13">
        <v>98.1</v>
      </c>
      <c r="F984" s="14">
        <v>0.80345999999999995</v>
      </c>
      <c r="G984" s="10">
        <f t="shared" si="62"/>
        <v>-4.499999999999121E-3</v>
      </c>
      <c r="H984" s="11">
        <f t="shared" si="63"/>
        <v>1.2449099999999138</v>
      </c>
    </row>
    <row r="985" spans="1:8" ht="13.8" thickBot="1">
      <c r="A985" s="13">
        <v>98.2</v>
      </c>
      <c r="B985" s="14">
        <v>0.80228999999999995</v>
      </c>
      <c r="C985" s="10">
        <f t="shared" si="60"/>
        <v>-4.5999999999993104E-3</v>
      </c>
      <c r="D985" s="11">
        <f t="shared" si="61"/>
        <v>1.2540099999999321</v>
      </c>
      <c r="E985" s="13">
        <v>98.2</v>
      </c>
      <c r="F985" s="14">
        <v>0.80301</v>
      </c>
      <c r="G985" s="10">
        <f t="shared" si="62"/>
        <v>-4.6000000000004206E-3</v>
      </c>
      <c r="H985" s="11">
        <f t="shared" si="63"/>
        <v>1.2547300000000414</v>
      </c>
    </row>
    <row r="986" spans="1:8" ht="13.8" thickBot="1">
      <c r="A986" s="13">
        <v>98.3</v>
      </c>
      <c r="B986" s="14">
        <v>0.80183000000000004</v>
      </c>
      <c r="C986" s="10">
        <f t="shared" si="60"/>
        <v>-4.5999999999997675E-3</v>
      </c>
      <c r="D986" s="11">
        <f t="shared" si="61"/>
        <v>1.2540099999999772</v>
      </c>
      <c r="E986" s="13">
        <v>98.3</v>
      </c>
      <c r="F986" s="14">
        <v>0.80254999999999999</v>
      </c>
      <c r="G986" s="10">
        <f t="shared" si="62"/>
        <v>-4.5999999999997675E-3</v>
      </c>
      <c r="H986" s="11">
        <f t="shared" si="63"/>
        <v>1.254729999999977</v>
      </c>
    </row>
    <row r="987" spans="1:8" ht="13.8" thickBot="1">
      <c r="A987" s="13">
        <v>98.4</v>
      </c>
      <c r="B987" s="14">
        <v>0.80137000000000003</v>
      </c>
      <c r="C987" s="10">
        <f t="shared" si="60"/>
        <v>-4.7000000000010818E-3</v>
      </c>
      <c r="D987" s="11">
        <f t="shared" si="61"/>
        <v>1.2638500000001065</v>
      </c>
      <c r="E987" s="13">
        <v>98.4</v>
      </c>
      <c r="F987" s="14">
        <v>0.80208999999999997</v>
      </c>
      <c r="G987" s="10">
        <f t="shared" si="62"/>
        <v>-4.6999999999999716E-3</v>
      </c>
      <c r="H987" s="11">
        <f t="shared" si="63"/>
        <v>1.2645699999999973</v>
      </c>
    </row>
    <row r="988" spans="1:8" ht="13.8" thickBot="1">
      <c r="A988" s="13">
        <v>98.5</v>
      </c>
      <c r="B988" s="14">
        <v>0.80089999999999995</v>
      </c>
      <c r="C988" s="10">
        <f t="shared" si="60"/>
        <v>-4.5999999999993104E-3</v>
      </c>
      <c r="D988" s="11">
        <f t="shared" si="61"/>
        <v>1.2539999999999321</v>
      </c>
      <c r="E988" s="13">
        <v>98.5</v>
      </c>
      <c r="F988" s="14">
        <v>0.80162</v>
      </c>
      <c r="G988" s="10">
        <f t="shared" si="62"/>
        <v>-4.6000000000004206E-3</v>
      </c>
      <c r="H988" s="11">
        <f t="shared" si="63"/>
        <v>1.2547200000000416</v>
      </c>
    </row>
    <row r="989" spans="1:8" ht="13.8" thickBot="1">
      <c r="A989" s="13">
        <v>98.6</v>
      </c>
      <c r="B989" s="14">
        <v>0.80044000000000004</v>
      </c>
      <c r="C989" s="10">
        <f t="shared" si="60"/>
        <v>-4.7000000000004139E-3</v>
      </c>
      <c r="D989" s="11">
        <f t="shared" si="61"/>
        <v>1.2638600000000408</v>
      </c>
      <c r="E989" s="13">
        <v>98.6</v>
      </c>
      <c r="F989" s="14">
        <v>0.80115999999999998</v>
      </c>
      <c r="G989" s="10">
        <f t="shared" si="62"/>
        <v>-4.6999999999993028E-3</v>
      </c>
      <c r="H989" s="11">
        <f t="shared" si="63"/>
        <v>1.2645799999999312</v>
      </c>
    </row>
    <row r="990" spans="1:8" ht="13.8" thickBot="1">
      <c r="A990" s="13">
        <v>98.7</v>
      </c>
      <c r="B990" s="14">
        <v>0.79996999999999996</v>
      </c>
      <c r="C990" s="10">
        <f t="shared" si="60"/>
        <v>-4.7999999999995225E-3</v>
      </c>
      <c r="D990" s="11">
        <f t="shared" si="61"/>
        <v>1.273729999999953</v>
      </c>
      <c r="E990" s="13">
        <v>98.7</v>
      </c>
      <c r="F990" s="14">
        <v>0.80069000000000001</v>
      </c>
      <c r="G990" s="10">
        <f t="shared" si="62"/>
        <v>-4.8000000000006319E-3</v>
      </c>
      <c r="H990" s="11">
        <f t="shared" si="63"/>
        <v>1.2744500000000625</v>
      </c>
    </row>
    <row r="991" spans="1:8" ht="13.8" thickBot="1">
      <c r="A991" s="13">
        <v>98.8</v>
      </c>
      <c r="B991" s="14">
        <v>0.79949000000000003</v>
      </c>
      <c r="C991" s="10">
        <f t="shared" si="60"/>
        <v>-4.7000000000004139E-3</v>
      </c>
      <c r="D991" s="11">
        <f t="shared" si="61"/>
        <v>1.263850000000041</v>
      </c>
      <c r="E991" s="13">
        <v>98.8</v>
      </c>
      <c r="F991" s="14">
        <v>0.80020999999999998</v>
      </c>
      <c r="G991" s="10">
        <f t="shared" si="62"/>
        <v>-4.6999999999993028E-3</v>
      </c>
      <c r="H991" s="11">
        <f t="shared" si="63"/>
        <v>1.2645699999999311</v>
      </c>
    </row>
    <row r="992" spans="1:8" ht="13.8" thickBot="1">
      <c r="A992" s="13">
        <v>98.9</v>
      </c>
      <c r="B992" s="14">
        <v>0.79901999999999995</v>
      </c>
      <c r="C992" s="10">
        <f t="shared" si="60"/>
        <v>-4.7999999999995225E-3</v>
      </c>
      <c r="D992" s="11">
        <f t="shared" si="61"/>
        <v>1.2737399999999528</v>
      </c>
      <c r="E992" s="13">
        <v>98.9</v>
      </c>
      <c r="F992" s="14">
        <v>0.79974000000000001</v>
      </c>
      <c r="G992" s="10">
        <f t="shared" si="62"/>
        <v>-4.8000000000006319E-3</v>
      </c>
      <c r="H992" s="11">
        <f t="shared" si="63"/>
        <v>1.2744600000000625</v>
      </c>
    </row>
    <row r="993" spans="1:8" ht="13.8" thickBot="1">
      <c r="A993" s="8">
        <v>99</v>
      </c>
      <c r="B993" s="17">
        <v>0.79854000000000003</v>
      </c>
      <c r="C993" s="10">
        <f t="shared" si="60"/>
        <v>-4.9000000000001829E-3</v>
      </c>
      <c r="D993" s="11">
        <f t="shared" si="61"/>
        <v>1.2836400000000181</v>
      </c>
      <c r="E993" s="8">
        <v>99</v>
      </c>
      <c r="F993" s="17">
        <v>0.79925999999999997</v>
      </c>
      <c r="G993" s="10">
        <f t="shared" si="62"/>
        <v>-4.9000000000001829E-3</v>
      </c>
      <c r="H993" s="11">
        <f t="shared" si="63"/>
        <v>1.2843600000000182</v>
      </c>
    </row>
    <row r="994" spans="1:8" ht="13.8" thickBot="1">
      <c r="A994" s="13">
        <v>99.1</v>
      </c>
      <c r="B994" s="14">
        <v>0.79805000000000004</v>
      </c>
      <c r="C994" s="10">
        <f t="shared" si="60"/>
        <v>-4.8999999999994864E-3</v>
      </c>
      <c r="D994" s="11">
        <f t="shared" si="61"/>
        <v>1.2836399999999493</v>
      </c>
      <c r="E994" s="13">
        <v>99.1</v>
      </c>
      <c r="F994" s="14">
        <v>0.79876999999999998</v>
      </c>
      <c r="G994" s="10">
        <f t="shared" si="62"/>
        <v>-4.8999999999994864E-3</v>
      </c>
      <c r="H994" s="11">
        <f t="shared" si="63"/>
        <v>1.2843599999999491</v>
      </c>
    </row>
    <row r="995" spans="1:8" ht="13.8" thickBot="1">
      <c r="A995" s="13">
        <v>99.2</v>
      </c>
      <c r="B995" s="14">
        <v>0.79756000000000005</v>
      </c>
      <c r="C995" s="10">
        <f t="shared" si="60"/>
        <v>-4.9000000000012931E-3</v>
      </c>
      <c r="D995" s="11">
        <f t="shared" si="61"/>
        <v>1.2836400000001285</v>
      </c>
      <c r="E995" s="13">
        <v>99.2</v>
      </c>
      <c r="F995" s="14">
        <v>0.79827999999999999</v>
      </c>
      <c r="G995" s="10">
        <f t="shared" si="62"/>
        <v>-4.9000000000001829E-3</v>
      </c>
      <c r="H995" s="11">
        <f t="shared" si="63"/>
        <v>1.2843600000000182</v>
      </c>
    </row>
    <row r="996" spans="1:8" ht="13.8" thickBot="1">
      <c r="A996" s="13">
        <v>99.3</v>
      </c>
      <c r="B996" s="14">
        <v>0.79706999999999995</v>
      </c>
      <c r="C996" s="10">
        <f t="shared" si="60"/>
        <v>-4.9999999999990235E-3</v>
      </c>
      <c r="D996" s="11">
        <f t="shared" si="61"/>
        <v>1.2935699999999029</v>
      </c>
      <c r="E996" s="13">
        <v>99.3</v>
      </c>
      <c r="F996" s="14">
        <v>0.79779</v>
      </c>
      <c r="G996" s="10">
        <f t="shared" si="62"/>
        <v>-4.9999999999990235E-3</v>
      </c>
      <c r="H996" s="11">
        <f t="shared" si="63"/>
        <v>1.2942899999999029</v>
      </c>
    </row>
    <row r="997" spans="1:8" ht="13.8" thickBot="1">
      <c r="A997" s="13">
        <v>99.4</v>
      </c>
      <c r="B997" s="14">
        <v>0.79657</v>
      </c>
      <c r="C997" s="10">
        <f t="shared" si="60"/>
        <v>-4.9999999999997338E-3</v>
      </c>
      <c r="D997" s="11">
        <f t="shared" si="61"/>
        <v>1.2935699999999737</v>
      </c>
      <c r="E997" s="13">
        <v>99.4</v>
      </c>
      <c r="F997" s="14">
        <v>0.79729000000000005</v>
      </c>
      <c r="G997" s="10">
        <f t="shared" si="62"/>
        <v>-5.0000000000008432E-3</v>
      </c>
      <c r="H997" s="11">
        <f t="shared" si="63"/>
        <v>1.2942900000000839</v>
      </c>
    </row>
    <row r="998" spans="1:8" ht="13.8" thickBot="1">
      <c r="A998" s="13">
        <v>99.5</v>
      </c>
      <c r="B998" s="14">
        <v>0.79607000000000006</v>
      </c>
      <c r="C998" s="10">
        <f t="shared" si="60"/>
        <v>-5.0000000000008432E-3</v>
      </c>
      <c r="D998" s="11">
        <f t="shared" si="61"/>
        <v>1.2935700000000838</v>
      </c>
      <c r="E998" s="13">
        <v>99.5</v>
      </c>
      <c r="F998" s="14">
        <v>0.79679</v>
      </c>
      <c r="G998" s="10">
        <f t="shared" si="62"/>
        <v>-4.9999999999997338E-3</v>
      </c>
      <c r="H998" s="11">
        <f t="shared" si="63"/>
        <v>1.2942899999999735</v>
      </c>
    </row>
    <row r="999" spans="1:8" ht="13.8" thickBot="1">
      <c r="A999" s="13">
        <v>99.6</v>
      </c>
      <c r="B999" s="14">
        <v>0.79557</v>
      </c>
      <c r="C999" s="10">
        <f t="shared" si="60"/>
        <v>-5.099999999999669E-3</v>
      </c>
      <c r="D999" s="11">
        <f t="shared" si="61"/>
        <v>1.303529999999967</v>
      </c>
      <c r="E999" s="13">
        <v>99.6</v>
      </c>
      <c r="F999" s="14">
        <v>0.79629000000000005</v>
      </c>
      <c r="G999" s="10">
        <f t="shared" si="62"/>
        <v>-5.099999999999669E-3</v>
      </c>
      <c r="H999" s="11">
        <f t="shared" si="63"/>
        <v>1.304249999999967</v>
      </c>
    </row>
    <row r="1000" spans="1:8" ht="13.8" thickBot="1">
      <c r="A1000" s="13">
        <v>99.7</v>
      </c>
      <c r="B1000" s="14">
        <v>0.79505999999999999</v>
      </c>
      <c r="C1000" s="10">
        <f t="shared" si="60"/>
        <v>-5.1000000000003933E-3</v>
      </c>
      <c r="D1000" s="11">
        <f t="shared" si="61"/>
        <v>1.3035300000000394</v>
      </c>
      <c r="E1000" s="13">
        <v>99.7</v>
      </c>
      <c r="F1000" s="14">
        <v>0.79578000000000004</v>
      </c>
      <c r="G1000" s="10">
        <f t="shared" si="62"/>
        <v>-5.1000000000003933E-3</v>
      </c>
      <c r="H1000" s="11">
        <f t="shared" si="63"/>
        <v>1.3042500000000392</v>
      </c>
    </row>
    <row r="1001" spans="1:8" ht="13.8" thickBot="1">
      <c r="A1001" s="13">
        <v>99.8</v>
      </c>
      <c r="B1001" s="14">
        <v>0.79454999999999998</v>
      </c>
      <c r="C1001" s="10">
        <f t="shared" si="60"/>
        <v>-5.1999999999992053E-3</v>
      </c>
      <c r="D1001" s="11">
        <f t="shared" si="61"/>
        <v>1.3135099999999205</v>
      </c>
      <c r="E1001" s="13">
        <v>99.8</v>
      </c>
      <c r="F1001" s="14">
        <v>0.79527000000000003</v>
      </c>
      <c r="G1001" s="10">
        <f t="shared" si="62"/>
        <v>-5.2000000000003155E-3</v>
      </c>
      <c r="H1001" s="11">
        <f t="shared" si="63"/>
        <v>1.3142300000000313</v>
      </c>
    </row>
    <row r="1002" spans="1:8" ht="13.8" thickBot="1">
      <c r="A1002" s="13">
        <v>99.9</v>
      </c>
      <c r="B1002" s="14">
        <v>0.79403000000000001</v>
      </c>
      <c r="C1002" s="10">
        <f t="shared" si="60"/>
        <v>-5.1999999999999443E-3</v>
      </c>
      <c r="D1002" s="11">
        <f t="shared" si="61"/>
        <v>1.3135099999999946</v>
      </c>
      <c r="E1002" s="13">
        <v>99.9</v>
      </c>
      <c r="F1002" s="14">
        <v>0.79474999999999996</v>
      </c>
      <c r="G1002" s="10">
        <f t="shared" si="62"/>
        <v>-5.2999999999994952E-3</v>
      </c>
      <c r="H1002" s="11">
        <f t="shared" si="63"/>
        <v>1.3242199999999495</v>
      </c>
    </row>
    <row r="1003" spans="1:8" ht="13.8" thickBot="1">
      <c r="A1003" s="8">
        <v>100</v>
      </c>
      <c r="B1003" s="17">
        <v>0.79351000000000005</v>
      </c>
      <c r="C1003" s="23"/>
      <c r="D1003" s="11"/>
      <c r="E1003" s="8">
        <v>100</v>
      </c>
      <c r="F1003" s="17">
        <v>0.79422000000000004</v>
      </c>
      <c r="G1003" s="23"/>
      <c r="H1003" s="11"/>
    </row>
  </sheetData>
  <phoneticPr fontId="1"/>
  <pageMargins left="0.78700000000000003" right="0.78700000000000003" top="0.98399999999999999" bottom="0.98399999999999999" header="0.51200000000000001" footer="0.51200000000000001"/>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○号</vt:lpstr>
      <vt:lpstr>各種計算式等（配付時非表示）</vt:lpstr>
      <vt:lpstr>○号!Print_Area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2026-07-31T05:26:23Z</dcterms:created>
  <dcterms:modified xsi:type="dcterms:W3CDTF">2026-07-31T05:26:35Z</dcterms:modified>
</cp:coreProperties>
</file>